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evecca-my.sharepoint.com/personal/bpurtee_trevecca_edu/Documents/Desktop/ACL/CLC 2022 23/EBSCO Ebook Offer/"/>
    </mc:Choice>
  </mc:AlternateContent>
  <xr:revisionPtr revIDLastSave="0" documentId="8_{88E19BD4-D86E-424D-8ACB-079AA19972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svExport-2022-09-13-14-17-03" sheetId="1" r:id="rId1"/>
  </sheets>
  <definedNames>
    <definedName name="_xlnm._FilterDatabase" localSheetId="0" hidden="1">'CsvExport-2022-09-13-14-17-03'!$A$1:$Y$4075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1" l="1"/>
  <c r="S3" i="1"/>
  <c r="T3" i="1"/>
  <c r="S4" i="1"/>
  <c r="T4" i="1"/>
  <c r="T5" i="1"/>
  <c r="S6" i="1"/>
  <c r="T6" i="1"/>
  <c r="S7" i="1"/>
  <c r="T7" i="1"/>
  <c r="S8" i="1"/>
  <c r="T8" i="1"/>
  <c r="S9" i="1"/>
  <c r="T9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T26" i="1"/>
  <c r="T27" i="1"/>
  <c r="T28" i="1"/>
  <c r="T29" i="1"/>
  <c r="S30" i="1"/>
  <c r="T30" i="1"/>
  <c r="T31" i="1"/>
  <c r="S32" i="1"/>
  <c r="T32" i="1"/>
  <c r="S33" i="1"/>
  <c r="T33" i="1"/>
  <c r="T34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T45" i="1"/>
  <c r="T46" i="1"/>
  <c r="T47" i="1"/>
  <c r="T48" i="1"/>
  <c r="T49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T70" i="1"/>
  <c r="S71" i="1"/>
  <c r="T71" i="1"/>
  <c r="S72" i="1"/>
  <c r="T72" i="1"/>
  <c r="S73" i="1"/>
  <c r="T73" i="1"/>
  <c r="T74" i="1"/>
  <c r="S75" i="1"/>
  <c r="T75" i="1"/>
  <c r="S76" i="1"/>
  <c r="T76" i="1"/>
  <c r="T77" i="1"/>
  <c r="S78" i="1"/>
  <c r="T78" i="1"/>
  <c r="S79" i="1"/>
  <c r="T79" i="1"/>
  <c r="S80" i="1"/>
  <c r="T80" i="1"/>
  <c r="T81" i="1"/>
  <c r="T82" i="1"/>
  <c r="T83" i="1"/>
  <c r="S84" i="1"/>
  <c r="T84" i="1"/>
  <c r="S85" i="1"/>
  <c r="T85" i="1"/>
  <c r="T86" i="1"/>
  <c r="S87" i="1"/>
  <c r="T87" i="1"/>
  <c r="S88" i="1"/>
  <c r="T88" i="1"/>
  <c r="S89" i="1"/>
  <c r="T89" i="1"/>
  <c r="T90" i="1"/>
  <c r="T91" i="1"/>
  <c r="T92" i="1"/>
  <c r="S93" i="1"/>
  <c r="T93" i="1"/>
  <c r="S94" i="1"/>
  <c r="T94" i="1"/>
  <c r="S95" i="1"/>
  <c r="T95" i="1"/>
  <c r="S96" i="1"/>
  <c r="T96" i="1"/>
  <c r="S97" i="1"/>
  <c r="T97" i="1"/>
  <c r="S98" i="1"/>
  <c r="T98" i="1"/>
  <c r="S99" i="1"/>
  <c r="T99" i="1"/>
  <c r="S100" i="1"/>
  <c r="T100" i="1"/>
  <c r="S101" i="1"/>
  <c r="T101" i="1"/>
  <c r="S102" i="1"/>
  <c r="T102" i="1"/>
  <c r="S103" i="1"/>
  <c r="T103" i="1"/>
  <c r="T104" i="1"/>
  <c r="S105" i="1"/>
  <c r="T105" i="1"/>
  <c r="S106" i="1"/>
  <c r="T106" i="1"/>
  <c r="S107" i="1"/>
  <c r="T107" i="1"/>
  <c r="S108" i="1"/>
  <c r="T108" i="1"/>
  <c r="S109" i="1"/>
  <c r="T109" i="1"/>
  <c r="S110" i="1"/>
  <c r="T110" i="1"/>
  <c r="S111" i="1"/>
  <c r="T111" i="1"/>
  <c r="S112" i="1"/>
  <c r="T112" i="1"/>
  <c r="S113" i="1"/>
  <c r="T113" i="1"/>
  <c r="S114" i="1"/>
  <c r="T114" i="1"/>
  <c r="S115" i="1"/>
  <c r="T115" i="1"/>
  <c r="S116" i="1"/>
  <c r="T116" i="1"/>
  <c r="S117" i="1"/>
  <c r="T117" i="1"/>
  <c r="S118" i="1"/>
  <c r="T118" i="1"/>
  <c r="S119" i="1"/>
  <c r="T119" i="1"/>
  <c r="S120" i="1"/>
  <c r="T120" i="1"/>
  <c r="S121" i="1"/>
  <c r="T121" i="1"/>
  <c r="S122" i="1"/>
  <c r="T122" i="1"/>
  <c r="S123" i="1"/>
  <c r="T123" i="1"/>
  <c r="S124" i="1"/>
  <c r="T124" i="1"/>
  <c r="S125" i="1"/>
  <c r="T125" i="1"/>
  <c r="S126" i="1"/>
  <c r="T126" i="1"/>
  <c r="S127" i="1"/>
  <c r="T127" i="1"/>
  <c r="S128" i="1"/>
  <c r="T128" i="1"/>
  <c r="S129" i="1"/>
  <c r="T129" i="1"/>
  <c r="S130" i="1"/>
  <c r="T130" i="1"/>
  <c r="S131" i="1"/>
  <c r="T131" i="1"/>
  <c r="S132" i="1"/>
  <c r="T132" i="1"/>
  <c r="S133" i="1"/>
  <c r="T133" i="1"/>
  <c r="S134" i="1"/>
  <c r="T134" i="1"/>
  <c r="S135" i="1"/>
  <c r="T135" i="1"/>
  <c r="S136" i="1"/>
  <c r="T136" i="1"/>
  <c r="S137" i="1"/>
  <c r="T137" i="1"/>
  <c r="S138" i="1"/>
  <c r="T138" i="1"/>
  <c r="S139" i="1"/>
  <c r="T139" i="1"/>
  <c r="S140" i="1"/>
  <c r="T140" i="1"/>
  <c r="S141" i="1"/>
  <c r="T141" i="1"/>
  <c r="S142" i="1"/>
  <c r="T142" i="1"/>
  <c r="S143" i="1"/>
  <c r="T143" i="1"/>
  <c r="S144" i="1"/>
  <c r="T144" i="1"/>
  <c r="S145" i="1"/>
  <c r="T145" i="1"/>
  <c r="S146" i="1"/>
  <c r="T146" i="1"/>
  <c r="S147" i="1"/>
  <c r="T147" i="1"/>
  <c r="S148" i="1"/>
  <c r="T148" i="1"/>
  <c r="S149" i="1"/>
  <c r="T149" i="1"/>
  <c r="S150" i="1"/>
  <c r="T150" i="1"/>
  <c r="S151" i="1"/>
  <c r="T151" i="1"/>
  <c r="S152" i="1"/>
  <c r="T152" i="1"/>
  <c r="S153" i="1"/>
  <c r="T153" i="1"/>
  <c r="S154" i="1"/>
  <c r="T154" i="1"/>
  <c r="S155" i="1"/>
  <c r="T155" i="1"/>
  <c r="S156" i="1"/>
  <c r="T156" i="1"/>
  <c r="S157" i="1"/>
  <c r="T157" i="1"/>
  <c r="T158" i="1"/>
  <c r="S159" i="1"/>
  <c r="T159" i="1"/>
  <c r="S160" i="1"/>
  <c r="T160" i="1"/>
  <c r="S161" i="1"/>
  <c r="T161" i="1"/>
  <c r="S162" i="1"/>
  <c r="T162" i="1"/>
  <c r="S163" i="1"/>
  <c r="T163" i="1"/>
  <c r="S164" i="1"/>
  <c r="T164" i="1"/>
  <c r="S165" i="1"/>
  <c r="T165" i="1"/>
  <c r="S166" i="1"/>
  <c r="T166" i="1"/>
  <c r="S167" i="1"/>
  <c r="T167" i="1"/>
  <c r="S168" i="1"/>
  <c r="T168" i="1"/>
  <c r="S169" i="1"/>
  <c r="T169" i="1"/>
  <c r="S170" i="1"/>
  <c r="T170" i="1"/>
  <c r="S171" i="1"/>
  <c r="T171" i="1"/>
  <c r="S172" i="1"/>
  <c r="T172" i="1"/>
  <c r="S173" i="1"/>
  <c r="T173" i="1"/>
  <c r="S174" i="1"/>
  <c r="T174" i="1"/>
  <c r="S175" i="1"/>
  <c r="T175" i="1"/>
  <c r="S176" i="1"/>
  <c r="T176" i="1"/>
  <c r="S177" i="1"/>
  <c r="T177" i="1"/>
  <c r="S178" i="1"/>
  <c r="T178" i="1"/>
  <c r="S179" i="1"/>
  <c r="T179" i="1"/>
  <c r="S180" i="1"/>
  <c r="T180" i="1"/>
  <c r="S181" i="1"/>
  <c r="T181" i="1"/>
  <c r="S182" i="1"/>
  <c r="T182" i="1"/>
  <c r="S183" i="1"/>
  <c r="T183" i="1"/>
  <c r="S184" i="1"/>
  <c r="T184" i="1"/>
  <c r="S185" i="1"/>
  <c r="T185" i="1"/>
  <c r="S186" i="1"/>
  <c r="T186" i="1"/>
  <c r="S187" i="1"/>
  <c r="T187" i="1"/>
  <c r="S188" i="1"/>
  <c r="T188" i="1"/>
  <c r="S189" i="1"/>
  <c r="T189" i="1"/>
  <c r="S190" i="1"/>
  <c r="T190" i="1"/>
  <c r="S191" i="1"/>
  <c r="T191" i="1"/>
  <c r="S192" i="1"/>
  <c r="T192" i="1"/>
  <c r="S193" i="1"/>
  <c r="T193" i="1"/>
  <c r="S194" i="1"/>
  <c r="T194" i="1"/>
  <c r="S195" i="1"/>
  <c r="T195" i="1"/>
  <c r="S196" i="1"/>
  <c r="T196" i="1"/>
  <c r="S197" i="1"/>
  <c r="T197" i="1"/>
  <c r="S198" i="1"/>
  <c r="T198" i="1"/>
  <c r="S199" i="1"/>
  <c r="T199" i="1"/>
  <c r="S200" i="1"/>
  <c r="T200" i="1"/>
  <c r="S201" i="1"/>
  <c r="T201" i="1"/>
  <c r="S202" i="1"/>
  <c r="T202" i="1"/>
  <c r="S203" i="1"/>
  <c r="T203" i="1"/>
  <c r="S204" i="1"/>
  <c r="T204" i="1"/>
  <c r="S205" i="1"/>
  <c r="T205" i="1"/>
  <c r="S206" i="1"/>
  <c r="T206" i="1"/>
  <c r="S207" i="1"/>
  <c r="T207" i="1"/>
  <c r="S208" i="1"/>
  <c r="T208" i="1"/>
  <c r="S209" i="1"/>
  <c r="T209" i="1"/>
  <c r="S210" i="1"/>
  <c r="T210" i="1"/>
  <c r="S211" i="1"/>
  <c r="T211" i="1"/>
  <c r="S212" i="1"/>
  <c r="T212" i="1"/>
  <c r="S213" i="1"/>
  <c r="T213" i="1"/>
  <c r="S214" i="1"/>
  <c r="T214" i="1"/>
  <c r="S215" i="1"/>
  <c r="T215" i="1"/>
  <c r="S216" i="1"/>
  <c r="T216" i="1"/>
  <c r="S217" i="1"/>
  <c r="T217" i="1"/>
  <c r="S218" i="1"/>
  <c r="T218" i="1"/>
  <c r="S219" i="1"/>
  <c r="T219" i="1"/>
  <c r="S220" i="1"/>
  <c r="T220" i="1"/>
  <c r="T221" i="1"/>
  <c r="S222" i="1"/>
  <c r="T222" i="1"/>
  <c r="S223" i="1"/>
  <c r="T223" i="1"/>
  <c r="S224" i="1"/>
  <c r="T224" i="1"/>
  <c r="S225" i="1"/>
  <c r="T225" i="1"/>
  <c r="S226" i="1"/>
  <c r="T226" i="1"/>
  <c r="S227" i="1"/>
  <c r="T227" i="1"/>
  <c r="S228" i="1"/>
  <c r="T228" i="1"/>
  <c r="S229" i="1"/>
  <c r="T229" i="1"/>
  <c r="S230" i="1"/>
  <c r="T230" i="1"/>
  <c r="S231" i="1"/>
  <c r="T231" i="1"/>
  <c r="S232" i="1"/>
  <c r="T232" i="1"/>
  <c r="S233" i="1"/>
  <c r="T233" i="1"/>
  <c r="S234" i="1"/>
  <c r="T234" i="1"/>
  <c r="S235" i="1"/>
  <c r="T235" i="1"/>
  <c r="S236" i="1"/>
  <c r="T236" i="1"/>
  <c r="S237" i="1"/>
  <c r="T237" i="1"/>
  <c r="S238" i="1"/>
  <c r="T238" i="1"/>
  <c r="S239" i="1"/>
  <c r="T239" i="1"/>
  <c r="S240" i="1"/>
  <c r="T240" i="1"/>
  <c r="S241" i="1"/>
  <c r="T241" i="1"/>
  <c r="S242" i="1"/>
  <c r="T242" i="1"/>
  <c r="S243" i="1"/>
  <c r="T243" i="1"/>
  <c r="S244" i="1"/>
  <c r="T244" i="1"/>
  <c r="S245" i="1"/>
  <c r="T245" i="1"/>
  <c r="S246" i="1"/>
  <c r="T246" i="1"/>
  <c r="S247" i="1"/>
  <c r="T247" i="1"/>
  <c r="S248" i="1"/>
  <c r="T248" i="1"/>
  <c r="S249" i="1"/>
  <c r="T249" i="1"/>
  <c r="S250" i="1"/>
  <c r="T250" i="1"/>
  <c r="S251" i="1"/>
  <c r="T251" i="1"/>
  <c r="S252" i="1"/>
  <c r="T252" i="1"/>
  <c r="T253" i="1"/>
  <c r="S254" i="1"/>
  <c r="T254" i="1"/>
  <c r="S255" i="1"/>
  <c r="T255" i="1"/>
  <c r="S256" i="1"/>
  <c r="T256" i="1"/>
  <c r="S257" i="1"/>
  <c r="T257" i="1"/>
  <c r="S258" i="1"/>
  <c r="T258" i="1"/>
  <c r="S259" i="1"/>
  <c r="T259" i="1"/>
  <c r="S260" i="1"/>
  <c r="T260" i="1"/>
  <c r="S261" i="1"/>
  <c r="T261" i="1"/>
  <c r="T262" i="1"/>
  <c r="T263" i="1"/>
  <c r="T264" i="1"/>
  <c r="T265" i="1"/>
  <c r="S266" i="1"/>
  <c r="T266" i="1"/>
  <c r="S267" i="1"/>
  <c r="T267" i="1"/>
  <c r="S268" i="1"/>
  <c r="T268" i="1"/>
  <c r="S269" i="1"/>
  <c r="T269" i="1"/>
  <c r="S270" i="1"/>
  <c r="T270" i="1"/>
  <c r="S271" i="1"/>
  <c r="T271" i="1"/>
  <c r="S272" i="1"/>
  <c r="T272" i="1"/>
  <c r="S273" i="1"/>
  <c r="T273" i="1"/>
  <c r="S274" i="1"/>
  <c r="T274" i="1"/>
  <c r="T275" i="1"/>
  <c r="S276" i="1"/>
  <c r="T276" i="1"/>
  <c r="T277" i="1"/>
  <c r="T278" i="1"/>
  <c r="S279" i="1"/>
  <c r="T279" i="1"/>
  <c r="S280" i="1"/>
  <c r="T280" i="1"/>
  <c r="S281" i="1"/>
  <c r="T281" i="1"/>
  <c r="S282" i="1"/>
  <c r="T282" i="1"/>
  <c r="S283" i="1"/>
  <c r="T283" i="1"/>
  <c r="S284" i="1"/>
  <c r="T284" i="1"/>
  <c r="S285" i="1"/>
  <c r="T285" i="1"/>
  <c r="S286" i="1"/>
  <c r="T286" i="1"/>
  <c r="S287" i="1"/>
  <c r="T287" i="1"/>
  <c r="S288" i="1"/>
  <c r="T288" i="1"/>
  <c r="S289" i="1"/>
  <c r="T289" i="1"/>
  <c r="S290" i="1"/>
  <c r="T290" i="1"/>
  <c r="S291" i="1"/>
  <c r="T291" i="1"/>
  <c r="S292" i="1"/>
  <c r="T292" i="1"/>
  <c r="S293" i="1"/>
  <c r="T293" i="1"/>
  <c r="S294" i="1"/>
  <c r="T294" i="1"/>
  <c r="S295" i="1"/>
  <c r="T295" i="1"/>
  <c r="S296" i="1"/>
  <c r="T296" i="1"/>
  <c r="S297" i="1"/>
  <c r="T297" i="1"/>
  <c r="S298" i="1"/>
  <c r="T298" i="1"/>
  <c r="S299" i="1"/>
  <c r="T299" i="1"/>
  <c r="S300" i="1"/>
  <c r="T300" i="1"/>
  <c r="S301" i="1"/>
  <c r="T301" i="1"/>
  <c r="S302" i="1"/>
  <c r="T302" i="1"/>
  <c r="T303" i="1"/>
  <c r="S304" i="1"/>
  <c r="T304" i="1"/>
  <c r="T305" i="1"/>
  <c r="S306" i="1"/>
  <c r="T306" i="1"/>
  <c r="S307" i="1"/>
  <c r="T307" i="1"/>
  <c r="S308" i="1"/>
  <c r="T308" i="1"/>
  <c r="S309" i="1"/>
  <c r="T309" i="1"/>
  <c r="S310" i="1"/>
  <c r="T310" i="1"/>
  <c r="S311" i="1"/>
  <c r="T311" i="1"/>
  <c r="T312" i="1"/>
  <c r="S313" i="1"/>
  <c r="T313" i="1"/>
  <c r="S314" i="1"/>
  <c r="T314" i="1"/>
  <c r="S315" i="1"/>
  <c r="T315" i="1"/>
  <c r="T316" i="1"/>
  <c r="S317" i="1"/>
  <c r="T317" i="1"/>
  <c r="S318" i="1"/>
  <c r="T318" i="1"/>
  <c r="T319" i="1"/>
  <c r="S320" i="1"/>
  <c r="T320" i="1"/>
  <c r="S321" i="1"/>
  <c r="T321" i="1"/>
  <c r="S322" i="1"/>
  <c r="T322" i="1"/>
  <c r="S323" i="1"/>
  <c r="T323" i="1"/>
  <c r="S324" i="1"/>
  <c r="T324" i="1"/>
  <c r="O325" i="1"/>
  <c r="S325" i="1"/>
  <c r="T325" i="1"/>
  <c r="S326" i="1"/>
  <c r="T326" i="1"/>
  <c r="S327" i="1"/>
  <c r="T327" i="1"/>
  <c r="S328" i="1"/>
  <c r="T328" i="1"/>
  <c r="S329" i="1"/>
  <c r="T329" i="1"/>
  <c r="S330" i="1"/>
  <c r="T330" i="1"/>
  <c r="S331" i="1"/>
  <c r="T331" i="1"/>
  <c r="T332" i="1"/>
  <c r="S333" i="1"/>
  <c r="T333" i="1"/>
  <c r="S334" i="1"/>
  <c r="T334" i="1"/>
  <c r="S335" i="1"/>
  <c r="T335" i="1"/>
  <c r="S336" i="1"/>
  <c r="T336" i="1"/>
  <c r="S337" i="1"/>
  <c r="T337" i="1"/>
  <c r="S338" i="1"/>
  <c r="T338" i="1"/>
  <c r="S339" i="1"/>
  <c r="T339" i="1"/>
  <c r="S340" i="1"/>
  <c r="T340" i="1"/>
  <c r="S341" i="1"/>
  <c r="T341" i="1"/>
  <c r="S342" i="1"/>
  <c r="T342" i="1"/>
  <c r="S343" i="1"/>
  <c r="T343" i="1"/>
  <c r="S344" i="1"/>
  <c r="T344" i="1"/>
  <c r="S345" i="1"/>
  <c r="T345" i="1"/>
  <c r="S346" i="1"/>
  <c r="T346" i="1"/>
  <c r="S347" i="1"/>
  <c r="T347" i="1"/>
  <c r="T348" i="1"/>
  <c r="S349" i="1"/>
  <c r="T349" i="1"/>
  <c r="S350" i="1"/>
  <c r="T350" i="1"/>
  <c r="S351" i="1"/>
  <c r="T351" i="1"/>
  <c r="T352" i="1"/>
  <c r="S353" i="1"/>
  <c r="T353" i="1"/>
  <c r="S354" i="1"/>
  <c r="T354" i="1"/>
  <c r="S355" i="1"/>
  <c r="T355" i="1"/>
  <c r="S356" i="1"/>
  <c r="T356" i="1"/>
  <c r="S357" i="1"/>
  <c r="T357" i="1"/>
  <c r="S358" i="1"/>
  <c r="T358" i="1"/>
  <c r="S359" i="1"/>
  <c r="T359" i="1"/>
  <c r="S360" i="1"/>
  <c r="T360" i="1"/>
  <c r="S361" i="1"/>
  <c r="T361" i="1"/>
  <c r="S362" i="1"/>
  <c r="T362" i="1"/>
  <c r="S363" i="1"/>
  <c r="T363" i="1"/>
  <c r="S364" i="1"/>
  <c r="T364" i="1"/>
  <c r="S365" i="1"/>
  <c r="T365" i="1"/>
  <c r="S366" i="1"/>
  <c r="T366" i="1"/>
  <c r="O367" i="1"/>
  <c r="S367" i="1"/>
  <c r="T367" i="1"/>
  <c r="S368" i="1"/>
  <c r="T368" i="1"/>
  <c r="S369" i="1"/>
  <c r="T369" i="1"/>
  <c r="S370" i="1"/>
  <c r="T370" i="1"/>
  <c r="S371" i="1"/>
  <c r="T371" i="1"/>
  <c r="S372" i="1"/>
  <c r="T372" i="1"/>
  <c r="S373" i="1"/>
  <c r="T373" i="1"/>
  <c r="O374" i="1"/>
  <c r="S374" i="1"/>
  <c r="T374" i="1"/>
  <c r="O375" i="1"/>
  <c r="S375" i="1"/>
  <c r="T375" i="1"/>
  <c r="S376" i="1"/>
  <c r="T376" i="1"/>
  <c r="S377" i="1"/>
  <c r="T377" i="1"/>
  <c r="S378" i="1"/>
  <c r="T378" i="1"/>
  <c r="S379" i="1"/>
  <c r="T379" i="1"/>
  <c r="T380" i="1"/>
  <c r="S381" i="1"/>
  <c r="T381" i="1"/>
  <c r="O382" i="1"/>
  <c r="S382" i="1"/>
  <c r="T382" i="1"/>
  <c r="S383" i="1"/>
  <c r="T383" i="1"/>
  <c r="S384" i="1"/>
  <c r="T384" i="1"/>
  <c r="S385" i="1"/>
  <c r="T385" i="1"/>
  <c r="O386" i="1"/>
  <c r="S386" i="1"/>
  <c r="T386" i="1"/>
  <c r="O387" i="1"/>
  <c r="S387" i="1"/>
  <c r="T387" i="1"/>
  <c r="T388" i="1"/>
  <c r="T389" i="1"/>
  <c r="S390" i="1"/>
  <c r="T390" i="1"/>
  <c r="S391" i="1"/>
  <c r="T391" i="1"/>
  <c r="O392" i="1"/>
  <c r="S392" i="1"/>
  <c r="T392" i="1"/>
  <c r="S393" i="1"/>
  <c r="T393" i="1"/>
  <c r="S394" i="1"/>
  <c r="T394" i="1"/>
  <c r="S395" i="1"/>
  <c r="T395" i="1"/>
  <c r="S396" i="1"/>
  <c r="T396" i="1"/>
  <c r="O397" i="1"/>
  <c r="S397" i="1"/>
  <c r="T397" i="1"/>
  <c r="O398" i="1"/>
  <c r="S398" i="1"/>
  <c r="T398" i="1"/>
  <c r="O399" i="1"/>
  <c r="S399" i="1"/>
  <c r="T399" i="1"/>
  <c r="O400" i="1"/>
  <c r="S400" i="1"/>
  <c r="T400" i="1"/>
  <c r="S401" i="1"/>
  <c r="T401" i="1"/>
  <c r="S402" i="1"/>
  <c r="T402" i="1"/>
  <c r="S403" i="1"/>
  <c r="T403" i="1"/>
  <c r="S404" i="1"/>
  <c r="T404" i="1"/>
  <c r="S405" i="1"/>
  <c r="T405" i="1"/>
  <c r="S406" i="1"/>
  <c r="T406" i="1"/>
  <c r="T407" i="1"/>
  <c r="S408" i="1"/>
  <c r="T408" i="1"/>
  <c r="S409" i="1"/>
  <c r="T409" i="1"/>
  <c r="S410" i="1"/>
  <c r="T410" i="1"/>
  <c r="S411" i="1"/>
  <c r="T411" i="1"/>
  <c r="S412" i="1"/>
  <c r="T412" i="1"/>
  <c r="S413" i="1"/>
  <c r="T413" i="1"/>
  <c r="S414" i="1"/>
  <c r="T414" i="1"/>
  <c r="S415" i="1"/>
  <c r="T415" i="1"/>
  <c r="S416" i="1"/>
  <c r="T416" i="1"/>
  <c r="S417" i="1"/>
  <c r="T417" i="1"/>
  <c r="S418" i="1"/>
  <c r="T418" i="1"/>
  <c r="S419" i="1"/>
  <c r="T419" i="1"/>
  <c r="O420" i="1"/>
  <c r="S420" i="1"/>
  <c r="T420" i="1"/>
  <c r="O421" i="1"/>
  <c r="S421" i="1"/>
  <c r="T421" i="1"/>
  <c r="S422" i="1"/>
  <c r="T422" i="1"/>
  <c r="S423" i="1"/>
  <c r="T423" i="1"/>
  <c r="S424" i="1"/>
  <c r="T424" i="1"/>
  <c r="S425" i="1"/>
  <c r="T425" i="1"/>
  <c r="S426" i="1"/>
  <c r="T426" i="1"/>
  <c r="S427" i="1"/>
  <c r="T427" i="1"/>
  <c r="O428" i="1"/>
  <c r="S428" i="1"/>
  <c r="T428" i="1"/>
  <c r="S429" i="1"/>
  <c r="T429" i="1"/>
  <c r="O430" i="1"/>
  <c r="S430" i="1"/>
  <c r="T430" i="1"/>
  <c r="S431" i="1"/>
  <c r="T431" i="1"/>
  <c r="O432" i="1"/>
  <c r="S432" i="1"/>
  <c r="T432" i="1"/>
  <c r="S433" i="1"/>
  <c r="T433" i="1"/>
  <c r="O434" i="1"/>
  <c r="S434" i="1"/>
  <c r="T434" i="1"/>
  <c r="S435" i="1"/>
  <c r="T435" i="1"/>
  <c r="S436" i="1"/>
  <c r="T436" i="1"/>
  <c r="S437" i="1"/>
  <c r="T437" i="1"/>
  <c r="S438" i="1"/>
  <c r="T438" i="1"/>
  <c r="T439" i="1"/>
  <c r="S440" i="1"/>
  <c r="T440" i="1"/>
  <c r="O441" i="1"/>
  <c r="S441" i="1"/>
  <c r="T441" i="1"/>
  <c r="S442" i="1"/>
  <c r="T442" i="1"/>
  <c r="S443" i="1"/>
  <c r="T443" i="1"/>
  <c r="O444" i="1"/>
  <c r="S444" i="1"/>
  <c r="T444" i="1"/>
  <c r="O445" i="1"/>
  <c r="S445" i="1"/>
  <c r="T445" i="1"/>
  <c r="S446" i="1"/>
  <c r="T446" i="1"/>
  <c r="T447" i="1"/>
  <c r="T448" i="1"/>
  <c r="T449" i="1"/>
  <c r="O450" i="1"/>
  <c r="S450" i="1"/>
  <c r="T450" i="1"/>
  <c r="O451" i="1"/>
  <c r="S451" i="1"/>
  <c r="T451" i="1"/>
  <c r="S452" i="1"/>
  <c r="T452" i="1"/>
  <c r="S453" i="1"/>
  <c r="T453" i="1"/>
  <c r="S454" i="1"/>
  <c r="T454" i="1"/>
  <c r="S455" i="1"/>
  <c r="T455" i="1"/>
  <c r="S456" i="1"/>
  <c r="T456" i="1"/>
  <c r="S457" i="1"/>
  <c r="T457" i="1"/>
  <c r="O458" i="1"/>
  <c r="S458" i="1"/>
  <c r="T458" i="1"/>
  <c r="O459" i="1"/>
  <c r="S459" i="1"/>
  <c r="T459" i="1"/>
  <c r="S460" i="1"/>
  <c r="T460" i="1"/>
  <c r="O461" i="1"/>
  <c r="S461" i="1"/>
  <c r="T461" i="1"/>
  <c r="O462" i="1"/>
  <c r="S462" i="1"/>
  <c r="T462" i="1"/>
  <c r="O463" i="1"/>
  <c r="S463" i="1"/>
  <c r="T463" i="1"/>
  <c r="S464" i="1"/>
  <c r="T464" i="1"/>
  <c r="S465" i="1"/>
  <c r="T465" i="1"/>
  <c r="O466" i="1"/>
  <c r="S466" i="1"/>
  <c r="T466" i="1"/>
  <c r="S467" i="1"/>
  <c r="T467" i="1"/>
  <c r="O468" i="1"/>
  <c r="S468" i="1"/>
  <c r="T468" i="1"/>
  <c r="O469" i="1"/>
  <c r="S469" i="1"/>
  <c r="T469" i="1"/>
  <c r="O470" i="1"/>
  <c r="S470" i="1"/>
  <c r="T470" i="1"/>
  <c r="O471" i="1"/>
  <c r="S471" i="1"/>
  <c r="T471" i="1"/>
  <c r="O472" i="1"/>
  <c r="S472" i="1"/>
  <c r="T472" i="1"/>
  <c r="S473" i="1"/>
  <c r="T473" i="1"/>
  <c r="S474" i="1"/>
  <c r="T474" i="1"/>
  <c r="S475" i="1"/>
  <c r="T475" i="1"/>
  <c r="S476" i="1"/>
  <c r="T476" i="1"/>
  <c r="S477" i="1"/>
  <c r="T477" i="1"/>
  <c r="O478" i="1"/>
  <c r="S478" i="1"/>
  <c r="T478" i="1"/>
  <c r="O479" i="1"/>
  <c r="S479" i="1"/>
  <c r="T479" i="1"/>
  <c r="S480" i="1"/>
  <c r="T480" i="1"/>
  <c r="S481" i="1"/>
  <c r="T481" i="1"/>
  <c r="O482" i="1"/>
  <c r="S482" i="1"/>
  <c r="T482" i="1"/>
  <c r="O483" i="1"/>
  <c r="S483" i="1"/>
  <c r="T483" i="1"/>
  <c r="O484" i="1"/>
  <c r="S484" i="1"/>
  <c r="T484" i="1"/>
  <c r="S485" i="1"/>
  <c r="T485" i="1"/>
  <c r="S486" i="1"/>
  <c r="T486" i="1"/>
  <c r="S487" i="1"/>
  <c r="T487" i="1"/>
  <c r="T488" i="1"/>
  <c r="S489" i="1"/>
  <c r="T489" i="1"/>
  <c r="S490" i="1"/>
  <c r="T490" i="1"/>
  <c r="T491" i="1"/>
  <c r="S492" i="1"/>
  <c r="T492" i="1"/>
  <c r="S493" i="1"/>
  <c r="T493" i="1"/>
  <c r="S494" i="1"/>
  <c r="T494" i="1"/>
  <c r="T495" i="1"/>
  <c r="T496" i="1"/>
  <c r="O497" i="1"/>
  <c r="S497" i="1"/>
  <c r="T497" i="1"/>
  <c r="O498" i="1"/>
  <c r="S498" i="1"/>
  <c r="T498" i="1"/>
  <c r="S499" i="1"/>
  <c r="T499" i="1"/>
  <c r="T500" i="1"/>
  <c r="S501" i="1"/>
  <c r="T501" i="1"/>
  <c r="S502" i="1"/>
  <c r="T502" i="1"/>
  <c r="S503" i="1"/>
  <c r="T503" i="1"/>
  <c r="T504" i="1"/>
  <c r="S505" i="1"/>
  <c r="T505" i="1"/>
  <c r="T506" i="1"/>
  <c r="T507" i="1"/>
  <c r="S508" i="1"/>
  <c r="T508" i="1"/>
  <c r="T509" i="1"/>
  <c r="S510" i="1"/>
  <c r="T510" i="1"/>
  <c r="T511" i="1"/>
  <c r="S512" i="1"/>
  <c r="T512" i="1"/>
  <c r="S513" i="1"/>
  <c r="T513" i="1"/>
  <c r="S514" i="1"/>
  <c r="T514" i="1"/>
  <c r="T515" i="1"/>
  <c r="T516" i="1"/>
  <c r="T517" i="1"/>
  <c r="T518" i="1"/>
  <c r="S519" i="1"/>
  <c r="T519" i="1"/>
  <c r="S520" i="1"/>
  <c r="T520" i="1"/>
  <c r="S521" i="1"/>
  <c r="T521" i="1"/>
  <c r="S522" i="1"/>
  <c r="T522" i="1"/>
  <c r="S523" i="1"/>
  <c r="T523" i="1"/>
  <c r="T524" i="1"/>
  <c r="S525" i="1"/>
  <c r="T525" i="1"/>
  <c r="S526" i="1"/>
  <c r="T526" i="1"/>
  <c r="S527" i="1"/>
  <c r="T527" i="1"/>
  <c r="T528" i="1"/>
  <c r="T529" i="1"/>
  <c r="T530" i="1"/>
  <c r="S531" i="1"/>
  <c r="T531" i="1"/>
  <c r="T532" i="1"/>
  <c r="T533" i="1"/>
  <c r="S534" i="1"/>
  <c r="T534" i="1"/>
  <c r="T535" i="1"/>
  <c r="T536" i="1"/>
  <c r="T537" i="1"/>
  <c r="S538" i="1"/>
  <c r="T538" i="1"/>
  <c r="S539" i="1"/>
  <c r="T539" i="1"/>
  <c r="T540" i="1"/>
  <c r="S541" i="1"/>
  <c r="T541" i="1"/>
  <c r="S542" i="1"/>
  <c r="T542" i="1"/>
  <c r="T543" i="1"/>
  <c r="S544" i="1"/>
  <c r="T544" i="1"/>
  <c r="S545" i="1"/>
  <c r="T545" i="1"/>
  <c r="S546" i="1"/>
  <c r="T546" i="1"/>
  <c r="T547" i="1"/>
  <c r="S548" i="1"/>
  <c r="T548" i="1"/>
  <c r="S549" i="1"/>
  <c r="T549" i="1"/>
  <c r="T550" i="1"/>
  <c r="S551" i="1"/>
  <c r="T551" i="1"/>
  <c r="S552" i="1"/>
  <c r="T552" i="1"/>
  <c r="T553" i="1"/>
  <c r="T554" i="1"/>
  <c r="S555" i="1"/>
  <c r="T555" i="1"/>
  <c r="S556" i="1"/>
  <c r="T556" i="1"/>
  <c r="T557" i="1"/>
  <c r="S558" i="1"/>
  <c r="T558" i="1"/>
  <c r="S559" i="1"/>
  <c r="T559" i="1"/>
  <c r="T560" i="1"/>
  <c r="T561" i="1"/>
  <c r="S562" i="1"/>
  <c r="T562" i="1"/>
  <c r="T563" i="1"/>
  <c r="S564" i="1"/>
  <c r="T564" i="1"/>
  <c r="S565" i="1"/>
  <c r="T565" i="1"/>
  <c r="T566" i="1"/>
  <c r="T567" i="1"/>
  <c r="T568" i="1"/>
  <c r="S569" i="1"/>
  <c r="T569" i="1"/>
  <c r="S570" i="1"/>
  <c r="T570" i="1"/>
  <c r="S571" i="1"/>
  <c r="T571" i="1"/>
  <c r="T572" i="1"/>
  <c r="S573" i="1"/>
  <c r="T573" i="1"/>
  <c r="S574" i="1"/>
  <c r="T574" i="1"/>
  <c r="S575" i="1"/>
  <c r="T575" i="1"/>
  <c r="T576" i="1"/>
  <c r="S577" i="1"/>
  <c r="T577" i="1"/>
  <c r="S578" i="1"/>
  <c r="T578" i="1"/>
  <c r="S579" i="1"/>
  <c r="T579" i="1"/>
  <c r="O580" i="1"/>
  <c r="T580" i="1"/>
  <c r="S581" i="1"/>
  <c r="T581" i="1"/>
  <c r="S582" i="1"/>
  <c r="T582" i="1"/>
  <c r="S583" i="1"/>
  <c r="T583" i="1"/>
  <c r="S584" i="1"/>
  <c r="T584" i="1"/>
  <c r="S585" i="1"/>
  <c r="T585" i="1"/>
  <c r="S586" i="1"/>
  <c r="T586" i="1"/>
  <c r="S587" i="1"/>
  <c r="T587" i="1"/>
  <c r="S588" i="1"/>
  <c r="T588" i="1"/>
  <c r="S589" i="1"/>
  <c r="T589" i="1"/>
  <c r="T590" i="1"/>
  <c r="T591" i="1"/>
  <c r="T592" i="1"/>
  <c r="S593" i="1"/>
  <c r="T593" i="1"/>
  <c r="S594" i="1"/>
  <c r="T594" i="1"/>
  <c r="S595" i="1"/>
  <c r="T595" i="1"/>
  <c r="S596" i="1"/>
  <c r="T596" i="1"/>
  <c r="S597" i="1"/>
  <c r="T597" i="1"/>
  <c r="T598" i="1"/>
  <c r="S599" i="1"/>
  <c r="T599" i="1"/>
  <c r="S600" i="1"/>
  <c r="T600" i="1"/>
  <c r="T601" i="1"/>
  <c r="O602" i="1"/>
  <c r="T602" i="1"/>
  <c r="S603" i="1"/>
  <c r="T603" i="1"/>
  <c r="S604" i="1"/>
  <c r="T604" i="1"/>
  <c r="S605" i="1"/>
  <c r="T605" i="1"/>
  <c r="S606" i="1"/>
  <c r="T606" i="1"/>
  <c r="S607" i="1"/>
  <c r="T607" i="1"/>
  <c r="S608" i="1"/>
  <c r="T608" i="1"/>
  <c r="T609" i="1"/>
  <c r="T610" i="1"/>
  <c r="T611" i="1"/>
  <c r="S612" i="1"/>
  <c r="T612" i="1"/>
  <c r="T613" i="1"/>
  <c r="S614" i="1"/>
  <c r="T614" i="1"/>
  <c r="S615" i="1"/>
  <c r="T615" i="1"/>
  <c r="S616" i="1"/>
  <c r="T616" i="1"/>
  <c r="S617" i="1"/>
  <c r="T617" i="1"/>
  <c r="T618" i="1"/>
  <c r="S619" i="1"/>
  <c r="T619" i="1"/>
  <c r="S620" i="1"/>
  <c r="T620" i="1"/>
  <c r="T621" i="1"/>
  <c r="T622" i="1"/>
  <c r="S623" i="1"/>
  <c r="T623" i="1"/>
  <c r="S624" i="1"/>
  <c r="T624" i="1"/>
  <c r="S625" i="1"/>
  <c r="T625" i="1"/>
  <c r="T626" i="1"/>
  <c r="T627" i="1"/>
  <c r="S628" i="1"/>
  <c r="T628" i="1"/>
  <c r="S629" i="1"/>
  <c r="T629" i="1"/>
  <c r="T630" i="1"/>
  <c r="S631" i="1"/>
  <c r="T631" i="1"/>
  <c r="S632" i="1"/>
  <c r="T632" i="1"/>
  <c r="S633" i="1"/>
  <c r="T633" i="1"/>
  <c r="T634" i="1"/>
  <c r="T635" i="1"/>
  <c r="T636" i="1"/>
  <c r="T637" i="1"/>
  <c r="T638" i="1"/>
  <c r="T639" i="1"/>
  <c r="S640" i="1"/>
  <c r="T640" i="1"/>
  <c r="S641" i="1"/>
  <c r="T641" i="1"/>
  <c r="S642" i="1"/>
  <c r="T642" i="1"/>
  <c r="S643" i="1"/>
  <c r="T643" i="1"/>
  <c r="S644" i="1"/>
  <c r="T644" i="1"/>
  <c r="S645" i="1"/>
  <c r="T645" i="1"/>
  <c r="S646" i="1"/>
  <c r="T646" i="1"/>
  <c r="S647" i="1"/>
  <c r="T647" i="1"/>
  <c r="S648" i="1"/>
  <c r="T648" i="1"/>
  <c r="S649" i="1"/>
  <c r="T649" i="1"/>
  <c r="T650" i="1"/>
  <c r="O651" i="1"/>
  <c r="T651" i="1"/>
  <c r="T652" i="1"/>
  <c r="S653" i="1"/>
  <c r="T653" i="1"/>
  <c r="T654" i="1"/>
  <c r="S655" i="1"/>
  <c r="T655" i="1"/>
  <c r="T656" i="1"/>
  <c r="T657" i="1"/>
  <c r="T658" i="1"/>
  <c r="S659" i="1"/>
  <c r="T659" i="1"/>
  <c r="S660" i="1"/>
  <c r="T660" i="1"/>
  <c r="S661" i="1"/>
  <c r="T661" i="1"/>
  <c r="S662" i="1"/>
  <c r="T662" i="1"/>
  <c r="S663" i="1"/>
  <c r="T663" i="1"/>
  <c r="S664" i="1"/>
  <c r="T664" i="1"/>
  <c r="S665" i="1"/>
  <c r="T665" i="1"/>
  <c r="S666" i="1"/>
  <c r="T666" i="1"/>
  <c r="S667" i="1"/>
  <c r="T667" i="1"/>
  <c r="T668" i="1"/>
  <c r="S669" i="1"/>
  <c r="T669" i="1"/>
  <c r="S670" i="1"/>
  <c r="T670" i="1"/>
  <c r="T671" i="1"/>
  <c r="S672" i="1"/>
  <c r="T672" i="1"/>
  <c r="S673" i="1"/>
  <c r="T673" i="1"/>
  <c r="S674" i="1"/>
  <c r="T674" i="1"/>
  <c r="S675" i="1"/>
  <c r="T675" i="1"/>
  <c r="S676" i="1"/>
  <c r="T676" i="1"/>
  <c r="S677" i="1"/>
  <c r="T677" i="1"/>
  <c r="S678" i="1"/>
  <c r="T678" i="1"/>
  <c r="T679" i="1"/>
  <c r="S680" i="1"/>
  <c r="T680" i="1"/>
  <c r="S681" i="1"/>
  <c r="T681" i="1"/>
  <c r="S682" i="1"/>
  <c r="T682" i="1"/>
  <c r="S683" i="1"/>
  <c r="T683" i="1"/>
  <c r="S684" i="1"/>
  <c r="T684" i="1"/>
  <c r="O685" i="1"/>
  <c r="T685" i="1"/>
  <c r="S686" i="1"/>
  <c r="T686" i="1"/>
  <c r="T687" i="1"/>
  <c r="T688" i="1"/>
  <c r="T689" i="1"/>
  <c r="S690" i="1"/>
  <c r="T690" i="1"/>
  <c r="S691" i="1"/>
  <c r="T691" i="1"/>
  <c r="T692" i="1"/>
  <c r="T693" i="1"/>
  <c r="T694" i="1"/>
  <c r="T695" i="1"/>
  <c r="S696" i="1"/>
  <c r="T696" i="1"/>
  <c r="T697" i="1"/>
  <c r="T698" i="1"/>
  <c r="T699" i="1"/>
  <c r="S700" i="1"/>
  <c r="T700" i="1"/>
  <c r="S701" i="1"/>
  <c r="T701" i="1"/>
  <c r="S702" i="1"/>
  <c r="T702" i="1"/>
  <c r="S703" i="1"/>
  <c r="T703" i="1"/>
  <c r="T704" i="1"/>
  <c r="S705" i="1"/>
  <c r="T705" i="1"/>
  <c r="T706" i="1"/>
  <c r="S707" i="1"/>
  <c r="T707" i="1"/>
  <c r="T708" i="1"/>
  <c r="S709" i="1"/>
  <c r="T709" i="1"/>
  <c r="S710" i="1"/>
  <c r="T710" i="1"/>
  <c r="S711" i="1"/>
  <c r="T711" i="1"/>
  <c r="T712" i="1"/>
  <c r="S713" i="1"/>
  <c r="T713" i="1"/>
  <c r="T714" i="1"/>
  <c r="T715" i="1"/>
  <c r="T716" i="1"/>
  <c r="S717" i="1"/>
  <c r="T717" i="1"/>
  <c r="S718" i="1"/>
  <c r="T718" i="1"/>
  <c r="S719" i="1"/>
  <c r="T719" i="1"/>
  <c r="T720" i="1"/>
  <c r="S721" i="1"/>
  <c r="T721" i="1"/>
  <c r="S722" i="1"/>
  <c r="T722" i="1"/>
  <c r="S723" i="1"/>
  <c r="T723" i="1"/>
  <c r="S724" i="1"/>
  <c r="T724" i="1"/>
  <c r="T725" i="1"/>
  <c r="S726" i="1"/>
  <c r="T726" i="1"/>
  <c r="T727" i="1"/>
  <c r="S728" i="1"/>
  <c r="T728" i="1"/>
  <c r="T729" i="1"/>
  <c r="S730" i="1"/>
  <c r="T730" i="1"/>
  <c r="S731" i="1"/>
  <c r="T731" i="1"/>
  <c r="T732" i="1"/>
  <c r="T733" i="1"/>
  <c r="T734" i="1"/>
  <c r="S735" i="1"/>
  <c r="T735" i="1"/>
  <c r="S736" i="1"/>
  <c r="T736" i="1"/>
  <c r="T737" i="1"/>
  <c r="S738" i="1"/>
  <c r="T738" i="1"/>
  <c r="T739" i="1"/>
  <c r="S740" i="1"/>
  <c r="T740" i="1"/>
  <c r="T741" i="1"/>
  <c r="S742" i="1"/>
  <c r="T742" i="1"/>
  <c r="S743" i="1"/>
  <c r="T743" i="1"/>
  <c r="T744" i="1"/>
  <c r="T745" i="1"/>
  <c r="T746" i="1"/>
  <c r="S747" i="1"/>
  <c r="T747" i="1"/>
  <c r="S748" i="1"/>
  <c r="T748" i="1"/>
  <c r="T749" i="1"/>
  <c r="T750" i="1"/>
  <c r="T751" i="1"/>
  <c r="T752" i="1"/>
  <c r="S753" i="1"/>
  <c r="T753" i="1"/>
  <c r="S754" i="1"/>
  <c r="T754" i="1"/>
  <c r="T755" i="1"/>
  <c r="S756" i="1"/>
  <c r="T756" i="1"/>
  <c r="S757" i="1"/>
  <c r="T757" i="1"/>
  <c r="S758" i="1"/>
  <c r="T758" i="1"/>
  <c r="S759" i="1"/>
  <c r="T759" i="1"/>
  <c r="T760" i="1"/>
  <c r="S761" i="1"/>
  <c r="T761" i="1"/>
  <c r="T762" i="1"/>
  <c r="S763" i="1"/>
  <c r="T763" i="1"/>
  <c r="O764" i="1"/>
  <c r="T764" i="1"/>
  <c r="S765" i="1"/>
  <c r="T765" i="1"/>
  <c r="S766" i="1"/>
  <c r="T766" i="1"/>
  <c r="S767" i="1"/>
  <c r="T767" i="1"/>
  <c r="S768" i="1"/>
  <c r="T768" i="1"/>
  <c r="T769" i="1"/>
  <c r="S770" i="1"/>
  <c r="T770" i="1"/>
  <c r="T771" i="1"/>
  <c r="S772" i="1"/>
  <c r="T772" i="1"/>
  <c r="S773" i="1"/>
  <c r="T773" i="1"/>
  <c r="T774" i="1"/>
  <c r="S775" i="1"/>
  <c r="T775" i="1"/>
  <c r="S776" i="1"/>
  <c r="T776" i="1"/>
  <c r="S777" i="1"/>
  <c r="T777" i="1"/>
  <c r="S778" i="1"/>
  <c r="T778" i="1"/>
  <c r="S779" i="1"/>
  <c r="T779" i="1"/>
  <c r="T780" i="1"/>
  <c r="S781" i="1"/>
  <c r="T781" i="1"/>
  <c r="S782" i="1"/>
  <c r="T782" i="1"/>
  <c r="S783" i="1"/>
  <c r="T783" i="1"/>
  <c r="T784" i="1"/>
  <c r="T785" i="1"/>
  <c r="O786" i="1"/>
  <c r="T786" i="1"/>
  <c r="T787" i="1"/>
  <c r="S788" i="1"/>
  <c r="T788" i="1"/>
  <c r="S789" i="1"/>
  <c r="T789" i="1"/>
  <c r="S790" i="1"/>
  <c r="T790" i="1"/>
  <c r="S791" i="1"/>
  <c r="T791" i="1"/>
  <c r="S792" i="1"/>
  <c r="T792" i="1"/>
  <c r="T793" i="1"/>
  <c r="T794" i="1"/>
  <c r="S795" i="1"/>
  <c r="T795" i="1"/>
  <c r="S796" i="1"/>
  <c r="T796" i="1"/>
  <c r="O797" i="1"/>
  <c r="T797" i="1"/>
  <c r="T798" i="1"/>
  <c r="S799" i="1"/>
  <c r="T799" i="1"/>
  <c r="T800" i="1"/>
  <c r="S801" i="1"/>
  <c r="T801" i="1"/>
  <c r="T802" i="1"/>
  <c r="T803" i="1"/>
  <c r="S804" i="1"/>
  <c r="T804" i="1"/>
  <c r="S805" i="1"/>
  <c r="T805" i="1"/>
  <c r="S806" i="1"/>
  <c r="T806" i="1"/>
  <c r="S807" i="1"/>
  <c r="T807" i="1"/>
  <c r="S808" i="1"/>
  <c r="T808" i="1"/>
  <c r="T809" i="1"/>
  <c r="S810" i="1"/>
  <c r="T810" i="1"/>
  <c r="S811" i="1"/>
  <c r="T811" i="1"/>
  <c r="S812" i="1"/>
  <c r="T812" i="1"/>
  <c r="T813" i="1"/>
  <c r="T814" i="1"/>
  <c r="S815" i="1"/>
  <c r="T815" i="1"/>
  <c r="S816" i="1"/>
  <c r="T816" i="1"/>
  <c r="S817" i="1"/>
  <c r="T817" i="1"/>
  <c r="S818" i="1"/>
  <c r="T818" i="1"/>
  <c r="T819" i="1"/>
  <c r="O820" i="1"/>
  <c r="T820" i="1"/>
  <c r="S821" i="1"/>
  <c r="T821" i="1"/>
  <c r="S822" i="1"/>
  <c r="T822" i="1"/>
  <c r="O823" i="1"/>
  <c r="T823" i="1"/>
  <c r="T824" i="1"/>
  <c r="T825" i="1"/>
  <c r="O826" i="1"/>
  <c r="T826" i="1"/>
  <c r="S827" i="1"/>
  <c r="T827" i="1"/>
  <c r="O828" i="1"/>
  <c r="T828" i="1"/>
  <c r="S829" i="1"/>
  <c r="T829" i="1"/>
  <c r="S830" i="1"/>
  <c r="T830" i="1"/>
  <c r="S831" i="1"/>
  <c r="T831" i="1"/>
  <c r="S832" i="1"/>
  <c r="T832" i="1"/>
  <c r="S833" i="1"/>
  <c r="T833" i="1"/>
  <c r="T834" i="1"/>
  <c r="S835" i="1"/>
  <c r="T835" i="1"/>
  <c r="T836" i="1"/>
  <c r="O837" i="1"/>
  <c r="T837" i="1"/>
  <c r="S838" i="1"/>
  <c r="T838" i="1"/>
  <c r="S839" i="1"/>
  <c r="T839" i="1"/>
  <c r="S840" i="1"/>
  <c r="T840" i="1"/>
  <c r="S841" i="1"/>
  <c r="T841" i="1"/>
  <c r="S842" i="1"/>
  <c r="T842" i="1"/>
  <c r="T843" i="1"/>
  <c r="S844" i="1"/>
  <c r="T844" i="1"/>
  <c r="O845" i="1"/>
  <c r="T845" i="1"/>
  <c r="O846" i="1"/>
  <c r="T846" i="1"/>
  <c r="S847" i="1"/>
  <c r="T847" i="1"/>
  <c r="T848" i="1"/>
  <c r="S849" i="1"/>
  <c r="T849" i="1"/>
  <c r="T850" i="1"/>
  <c r="O851" i="1"/>
  <c r="T851" i="1"/>
  <c r="S852" i="1"/>
  <c r="T852" i="1"/>
  <c r="O853" i="1"/>
  <c r="T853" i="1"/>
  <c r="O854" i="1"/>
  <c r="T854" i="1"/>
  <c r="S855" i="1"/>
  <c r="T855" i="1"/>
  <c r="S856" i="1"/>
  <c r="T856" i="1"/>
  <c r="S857" i="1"/>
  <c r="T857" i="1"/>
  <c r="S858" i="1"/>
  <c r="T858" i="1"/>
  <c r="S859" i="1"/>
  <c r="T859" i="1"/>
  <c r="T860" i="1"/>
  <c r="S861" i="1"/>
  <c r="T861" i="1"/>
  <c r="S862" i="1"/>
  <c r="T862" i="1"/>
  <c r="T863" i="1"/>
  <c r="S864" i="1"/>
  <c r="T864" i="1"/>
  <c r="T865" i="1"/>
  <c r="S866" i="1"/>
  <c r="T866" i="1"/>
  <c r="S867" i="1"/>
  <c r="T867" i="1"/>
  <c r="T868" i="1"/>
  <c r="T869" i="1"/>
  <c r="S870" i="1"/>
  <c r="T870" i="1"/>
  <c r="O871" i="1"/>
  <c r="T871" i="1"/>
  <c r="T872" i="1"/>
  <c r="S873" i="1"/>
  <c r="T873" i="1"/>
  <c r="S874" i="1"/>
  <c r="T874" i="1"/>
  <c r="S875" i="1"/>
  <c r="T875" i="1"/>
  <c r="S876" i="1"/>
  <c r="T876" i="1"/>
  <c r="S877" i="1"/>
  <c r="T877" i="1"/>
  <c r="S878" i="1"/>
  <c r="T878" i="1"/>
  <c r="T879" i="1"/>
  <c r="S880" i="1"/>
  <c r="T880" i="1"/>
  <c r="S881" i="1"/>
  <c r="T881" i="1"/>
  <c r="S882" i="1"/>
  <c r="T882" i="1"/>
  <c r="T883" i="1"/>
  <c r="T884" i="1"/>
  <c r="T885" i="1"/>
  <c r="T886" i="1"/>
  <c r="T887" i="1"/>
  <c r="T888" i="1"/>
  <c r="T889" i="1"/>
  <c r="T890" i="1"/>
  <c r="T891" i="1"/>
  <c r="S892" i="1"/>
  <c r="T892" i="1"/>
  <c r="S893" i="1"/>
  <c r="T893" i="1"/>
  <c r="T894" i="1"/>
  <c r="S895" i="1"/>
  <c r="T895" i="1"/>
  <c r="T896" i="1"/>
  <c r="S897" i="1"/>
  <c r="T897" i="1"/>
  <c r="S898" i="1"/>
  <c r="T898" i="1"/>
  <c r="S899" i="1"/>
  <c r="T899" i="1"/>
  <c r="T900" i="1"/>
  <c r="T901" i="1"/>
  <c r="O902" i="1"/>
  <c r="T902" i="1"/>
  <c r="S903" i="1"/>
  <c r="T903" i="1"/>
  <c r="S904" i="1"/>
  <c r="T904" i="1"/>
  <c r="S905" i="1"/>
  <c r="T905" i="1"/>
  <c r="T906" i="1"/>
  <c r="S907" i="1"/>
  <c r="T907" i="1"/>
  <c r="T908" i="1"/>
  <c r="S909" i="1"/>
  <c r="T909" i="1"/>
  <c r="T910" i="1"/>
  <c r="T911" i="1"/>
  <c r="S912" i="1"/>
  <c r="T912" i="1"/>
  <c r="T913" i="1"/>
  <c r="S914" i="1"/>
  <c r="T914" i="1"/>
  <c r="S915" i="1"/>
  <c r="T915" i="1"/>
  <c r="T916" i="1"/>
  <c r="S917" i="1"/>
  <c r="T917" i="1"/>
  <c r="T918" i="1"/>
  <c r="T919" i="1"/>
  <c r="S920" i="1"/>
  <c r="T920" i="1"/>
  <c r="S921" i="1"/>
  <c r="T921" i="1"/>
  <c r="O922" i="1"/>
  <c r="T922" i="1"/>
  <c r="S923" i="1"/>
  <c r="T923" i="1"/>
  <c r="T924" i="1"/>
  <c r="S925" i="1"/>
  <c r="T925" i="1"/>
  <c r="S926" i="1"/>
  <c r="T926" i="1"/>
  <c r="T927" i="1"/>
  <c r="T928" i="1"/>
  <c r="S929" i="1"/>
  <c r="T929" i="1"/>
  <c r="S930" i="1"/>
  <c r="T930" i="1"/>
  <c r="T931" i="1"/>
  <c r="S932" i="1"/>
  <c r="T932" i="1"/>
  <c r="S933" i="1"/>
  <c r="T933" i="1"/>
  <c r="O934" i="1"/>
  <c r="T934" i="1"/>
  <c r="S935" i="1"/>
  <c r="T935" i="1"/>
  <c r="T936" i="1"/>
  <c r="T937" i="1"/>
  <c r="S938" i="1"/>
  <c r="T938" i="1"/>
  <c r="S939" i="1"/>
  <c r="T939" i="1"/>
  <c r="S940" i="1"/>
  <c r="T940" i="1"/>
  <c r="T941" i="1"/>
  <c r="T942" i="1"/>
  <c r="S943" i="1"/>
  <c r="T943" i="1"/>
  <c r="S944" i="1"/>
  <c r="T944" i="1"/>
  <c r="T945" i="1"/>
  <c r="S946" i="1"/>
  <c r="T946" i="1"/>
  <c r="T947" i="1"/>
  <c r="T948" i="1"/>
  <c r="T949" i="1"/>
  <c r="S950" i="1"/>
  <c r="T950" i="1"/>
  <c r="S951" i="1"/>
  <c r="T951" i="1"/>
  <c r="S952" i="1"/>
  <c r="T952" i="1"/>
  <c r="S953" i="1"/>
  <c r="T953" i="1"/>
  <c r="S954" i="1"/>
  <c r="T954" i="1"/>
  <c r="S955" i="1"/>
  <c r="T955" i="1"/>
  <c r="T956" i="1"/>
  <c r="S957" i="1"/>
  <c r="T957" i="1"/>
  <c r="S958" i="1"/>
  <c r="T958" i="1"/>
  <c r="T959" i="1"/>
  <c r="T960" i="1"/>
  <c r="T961" i="1"/>
  <c r="T962" i="1"/>
  <c r="O963" i="1"/>
  <c r="T963" i="1"/>
  <c r="S964" i="1"/>
  <c r="T964" i="1"/>
  <c r="S965" i="1"/>
  <c r="T965" i="1"/>
  <c r="S966" i="1"/>
  <c r="T966" i="1"/>
  <c r="S967" i="1"/>
  <c r="T967" i="1"/>
  <c r="T968" i="1"/>
  <c r="S969" i="1"/>
  <c r="T969" i="1"/>
  <c r="S970" i="1"/>
  <c r="T970" i="1"/>
  <c r="T971" i="1"/>
  <c r="S972" i="1"/>
  <c r="T972" i="1"/>
  <c r="S973" i="1"/>
  <c r="T973" i="1"/>
  <c r="T974" i="1"/>
  <c r="S975" i="1"/>
  <c r="T975" i="1"/>
  <c r="S976" i="1"/>
  <c r="T976" i="1"/>
  <c r="T977" i="1"/>
  <c r="S978" i="1"/>
  <c r="T978" i="1"/>
  <c r="S979" i="1"/>
  <c r="T979" i="1"/>
  <c r="S980" i="1"/>
  <c r="T980" i="1"/>
  <c r="T981" i="1"/>
  <c r="S982" i="1"/>
  <c r="T982" i="1"/>
  <c r="S983" i="1"/>
  <c r="T983" i="1"/>
  <c r="S984" i="1"/>
  <c r="T984" i="1"/>
  <c r="T985" i="1"/>
  <c r="S986" i="1"/>
  <c r="T986" i="1"/>
  <c r="S987" i="1"/>
  <c r="T987" i="1"/>
  <c r="T988" i="1"/>
  <c r="O989" i="1"/>
  <c r="T989" i="1"/>
  <c r="T990" i="1"/>
  <c r="S991" i="1"/>
  <c r="T991" i="1"/>
  <c r="T992" i="1"/>
  <c r="T993" i="1"/>
  <c r="T994" i="1"/>
  <c r="S995" i="1"/>
  <c r="T995" i="1"/>
  <c r="T996" i="1"/>
  <c r="S997" i="1"/>
  <c r="T997" i="1"/>
  <c r="O998" i="1"/>
  <c r="T998" i="1"/>
  <c r="S999" i="1"/>
  <c r="T999" i="1"/>
  <c r="T1000" i="1"/>
  <c r="S1001" i="1"/>
  <c r="T1001" i="1"/>
  <c r="S1002" i="1"/>
  <c r="T1002" i="1"/>
  <c r="S1003" i="1"/>
  <c r="T1003" i="1"/>
  <c r="T1004" i="1"/>
  <c r="S1005" i="1"/>
  <c r="T1005" i="1"/>
  <c r="S1006" i="1"/>
  <c r="T1006" i="1"/>
  <c r="S1007" i="1"/>
  <c r="T1007" i="1"/>
  <c r="T1008" i="1"/>
  <c r="T1009" i="1"/>
  <c r="S1010" i="1"/>
  <c r="T1010" i="1"/>
  <c r="S1011" i="1"/>
  <c r="T1011" i="1"/>
  <c r="T1012" i="1"/>
  <c r="T1013" i="1"/>
  <c r="S1014" i="1"/>
  <c r="T1014" i="1"/>
  <c r="S1015" i="1"/>
  <c r="T1015" i="1"/>
  <c r="T1016" i="1"/>
  <c r="T1017" i="1"/>
  <c r="T1018" i="1"/>
  <c r="T1019" i="1"/>
  <c r="O1020" i="1"/>
  <c r="T1020" i="1"/>
  <c r="T1021" i="1"/>
  <c r="T1022" i="1"/>
  <c r="T1023" i="1"/>
  <c r="S1024" i="1"/>
  <c r="T1024" i="1"/>
  <c r="T1025" i="1"/>
  <c r="S1026" i="1"/>
  <c r="T1026" i="1"/>
  <c r="S1027" i="1"/>
  <c r="T1027" i="1"/>
  <c r="T1028" i="1"/>
  <c r="T1029" i="1"/>
  <c r="T1030" i="1"/>
  <c r="S1031" i="1"/>
  <c r="T1031" i="1"/>
  <c r="T1032" i="1"/>
  <c r="S1033" i="1"/>
  <c r="T1033" i="1"/>
  <c r="T1034" i="1"/>
  <c r="T1035" i="1"/>
  <c r="S1036" i="1"/>
  <c r="T1036" i="1"/>
  <c r="T1037" i="1"/>
  <c r="O1038" i="1"/>
  <c r="T1038" i="1"/>
  <c r="S1039" i="1"/>
  <c r="T1039" i="1"/>
  <c r="S1040" i="1"/>
  <c r="T1040" i="1"/>
  <c r="T1041" i="1"/>
  <c r="T1042" i="1"/>
  <c r="S1043" i="1"/>
  <c r="T1043" i="1"/>
  <c r="T1044" i="1"/>
  <c r="S1045" i="1"/>
  <c r="T1045" i="1"/>
  <c r="T1046" i="1"/>
  <c r="T1047" i="1"/>
  <c r="T1048" i="1"/>
  <c r="S1049" i="1"/>
  <c r="T1049" i="1"/>
  <c r="T1050" i="1"/>
  <c r="S1051" i="1"/>
  <c r="T1051" i="1"/>
  <c r="T1052" i="1"/>
  <c r="T1053" i="1"/>
  <c r="S1054" i="1"/>
  <c r="T1054" i="1"/>
  <c r="S1055" i="1"/>
  <c r="T1055" i="1"/>
  <c r="T1056" i="1"/>
  <c r="T1057" i="1"/>
  <c r="T1058" i="1"/>
  <c r="S1059" i="1"/>
  <c r="T1059" i="1"/>
  <c r="T1060" i="1"/>
  <c r="S1061" i="1"/>
  <c r="T1061" i="1"/>
  <c r="T1062" i="1"/>
  <c r="S1063" i="1"/>
  <c r="T1063" i="1"/>
  <c r="S1064" i="1"/>
  <c r="T1064" i="1"/>
  <c r="O1065" i="1"/>
  <c r="S1065" i="1"/>
  <c r="T1065" i="1"/>
  <c r="S1066" i="1"/>
  <c r="T1066" i="1"/>
  <c r="T1067" i="1"/>
  <c r="T1068" i="1"/>
  <c r="S1069" i="1"/>
  <c r="T1069" i="1"/>
  <c r="T1070" i="1"/>
  <c r="S1071" i="1"/>
  <c r="T1071" i="1"/>
  <c r="S1072" i="1"/>
  <c r="T1072" i="1"/>
  <c r="T1073" i="1"/>
  <c r="T1074" i="1"/>
  <c r="O1075" i="1"/>
  <c r="S1075" i="1"/>
  <c r="T1075" i="1"/>
  <c r="S1076" i="1"/>
  <c r="T1076" i="1"/>
  <c r="T1077" i="1"/>
  <c r="S1078" i="1"/>
  <c r="T1078" i="1"/>
  <c r="T1079" i="1"/>
  <c r="S1080" i="1"/>
  <c r="T1080" i="1"/>
  <c r="T1081" i="1"/>
  <c r="S1082" i="1"/>
  <c r="T1082" i="1"/>
  <c r="T1083" i="1"/>
  <c r="T1084" i="1"/>
  <c r="T1085" i="1"/>
  <c r="S1086" i="1"/>
  <c r="T1086" i="1"/>
  <c r="T1087" i="1"/>
  <c r="T1088" i="1"/>
  <c r="S1089" i="1"/>
  <c r="T1089" i="1"/>
  <c r="T1090" i="1"/>
  <c r="S1091" i="1"/>
  <c r="T1091" i="1"/>
  <c r="S1092" i="1"/>
  <c r="T1092" i="1"/>
  <c r="T1093" i="1"/>
  <c r="T1094" i="1"/>
  <c r="S1095" i="1"/>
  <c r="T1095" i="1"/>
  <c r="T1096" i="1"/>
  <c r="T1097" i="1"/>
  <c r="T1098" i="1"/>
  <c r="T1099" i="1"/>
  <c r="S1100" i="1"/>
  <c r="T1100" i="1"/>
  <c r="T1101" i="1"/>
  <c r="T1102" i="1"/>
  <c r="T1103" i="1"/>
  <c r="S1104" i="1"/>
  <c r="T1104" i="1"/>
  <c r="O1105" i="1"/>
  <c r="T1105" i="1"/>
  <c r="T1106" i="1"/>
  <c r="S1107" i="1"/>
  <c r="T1107" i="1"/>
  <c r="T1108" i="1"/>
  <c r="T1109" i="1"/>
  <c r="T1110" i="1"/>
  <c r="T1111" i="1"/>
  <c r="T1112" i="1"/>
  <c r="S1113" i="1"/>
  <c r="T1113" i="1"/>
  <c r="S1114" i="1"/>
  <c r="T1114" i="1"/>
  <c r="T1115" i="1"/>
  <c r="S1116" i="1"/>
  <c r="T1116" i="1"/>
  <c r="S1117" i="1"/>
  <c r="T1117" i="1"/>
  <c r="S1118" i="1"/>
  <c r="T1118" i="1"/>
  <c r="T1119" i="1"/>
  <c r="O1120" i="1"/>
  <c r="S1120" i="1"/>
  <c r="T1120" i="1"/>
  <c r="T1121" i="1"/>
  <c r="T1122" i="1"/>
  <c r="S1123" i="1"/>
  <c r="T1123" i="1"/>
  <c r="T1124" i="1"/>
  <c r="T1125" i="1"/>
  <c r="T1126" i="1"/>
  <c r="S1127" i="1"/>
  <c r="T1127" i="1"/>
  <c r="O1128" i="1"/>
  <c r="T1128" i="1"/>
  <c r="O1129" i="1"/>
  <c r="S1129" i="1"/>
  <c r="T1129" i="1"/>
  <c r="S1130" i="1"/>
  <c r="T1130" i="1"/>
  <c r="T1131" i="1"/>
  <c r="T1132" i="1"/>
  <c r="S1133" i="1"/>
  <c r="T1133" i="1"/>
  <c r="S1134" i="1"/>
  <c r="T1134" i="1"/>
  <c r="S1135" i="1"/>
  <c r="T1135" i="1"/>
  <c r="S1136" i="1"/>
  <c r="T1136" i="1"/>
  <c r="T1137" i="1"/>
  <c r="O1138" i="1"/>
  <c r="S1138" i="1"/>
  <c r="T1138" i="1"/>
  <c r="T1139" i="1"/>
  <c r="T1140" i="1"/>
  <c r="T1141" i="1"/>
  <c r="T1142" i="1"/>
  <c r="T1143" i="1"/>
  <c r="S1144" i="1"/>
  <c r="T1144" i="1"/>
  <c r="S1145" i="1"/>
  <c r="T1145" i="1"/>
  <c r="T1146" i="1"/>
  <c r="T1147" i="1"/>
  <c r="S1148" i="1"/>
  <c r="T1148" i="1"/>
  <c r="S1149" i="1"/>
  <c r="T1149" i="1"/>
  <c r="T1150" i="1"/>
  <c r="S1151" i="1"/>
  <c r="T1151" i="1"/>
  <c r="S1152" i="1"/>
  <c r="T1152" i="1"/>
  <c r="T1153" i="1"/>
  <c r="T1154" i="1"/>
  <c r="S1155" i="1"/>
  <c r="T1155" i="1"/>
  <c r="T1156" i="1"/>
  <c r="S1157" i="1"/>
  <c r="T1157" i="1"/>
  <c r="T1158" i="1"/>
  <c r="S1159" i="1"/>
  <c r="T1159" i="1"/>
  <c r="S1160" i="1"/>
  <c r="T1160" i="1"/>
  <c r="S1161" i="1"/>
  <c r="T1161" i="1"/>
  <c r="T1162" i="1"/>
  <c r="T1163" i="1"/>
  <c r="O1164" i="1"/>
  <c r="S1164" i="1"/>
  <c r="T1164" i="1"/>
  <c r="T1165" i="1"/>
  <c r="T1166" i="1"/>
  <c r="S1167" i="1"/>
  <c r="T1167" i="1"/>
  <c r="T1168" i="1"/>
  <c r="S1169" i="1"/>
  <c r="T1169" i="1"/>
  <c r="S1170" i="1"/>
  <c r="T1170" i="1"/>
  <c r="S1171" i="1"/>
  <c r="T1171" i="1"/>
  <c r="S1172" i="1"/>
  <c r="T1172" i="1"/>
  <c r="S1173" i="1"/>
  <c r="T1173" i="1"/>
  <c r="T1174" i="1"/>
  <c r="T1175" i="1"/>
  <c r="T1176" i="1"/>
  <c r="S1177" i="1"/>
  <c r="T1177" i="1"/>
  <c r="S1178" i="1"/>
  <c r="T1178" i="1"/>
  <c r="T1179" i="1"/>
  <c r="T1180" i="1"/>
  <c r="S1181" i="1"/>
  <c r="T1181" i="1"/>
  <c r="T1182" i="1"/>
  <c r="T1183" i="1"/>
  <c r="S1184" i="1"/>
  <c r="T1184" i="1"/>
  <c r="S1185" i="1"/>
  <c r="T1185" i="1"/>
  <c r="S1186" i="1"/>
  <c r="T1186" i="1"/>
  <c r="S1187" i="1"/>
  <c r="T1187" i="1"/>
  <c r="T1188" i="1"/>
  <c r="T1189" i="1"/>
  <c r="T1190" i="1"/>
  <c r="S1191" i="1"/>
  <c r="T1191" i="1"/>
  <c r="S1192" i="1"/>
  <c r="T1192" i="1"/>
  <c r="S1193" i="1"/>
  <c r="T1193" i="1"/>
  <c r="T1194" i="1"/>
  <c r="T1195" i="1"/>
  <c r="S1196" i="1"/>
  <c r="T1196" i="1"/>
  <c r="T1197" i="1"/>
  <c r="S1198" i="1"/>
  <c r="T1198" i="1"/>
  <c r="S1199" i="1"/>
  <c r="T1199" i="1"/>
  <c r="O1200" i="1"/>
  <c r="S1200" i="1"/>
  <c r="T1200" i="1"/>
  <c r="S1201" i="1"/>
  <c r="T1201" i="1"/>
  <c r="S1202" i="1"/>
  <c r="T1202" i="1"/>
  <c r="T1203" i="1"/>
  <c r="T1204" i="1"/>
  <c r="T1205" i="1"/>
  <c r="S1206" i="1"/>
  <c r="T1206" i="1"/>
  <c r="T1207" i="1"/>
  <c r="O1208" i="1"/>
  <c r="S1208" i="1"/>
  <c r="T1208" i="1"/>
  <c r="S1209" i="1"/>
  <c r="T1209" i="1"/>
  <c r="S1210" i="1"/>
  <c r="T1210" i="1"/>
  <c r="S1211" i="1"/>
  <c r="T1211" i="1"/>
  <c r="S1212" i="1"/>
  <c r="T1212" i="1"/>
  <c r="T1213" i="1"/>
  <c r="S1214" i="1"/>
  <c r="T1214" i="1"/>
  <c r="O1215" i="1"/>
  <c r="S1215" i="1"/>
  <c r="T1215" i="1"/>
  <c r="T1216" i="1"/>
  <c r="S1217" i="1"/>
  <c r="T1217" i="1"/>
  <c r="S1218" i="1"/>
  <c r="T1218" i="1"/>
  <c r="O1219" i="1"/>
  <c r="S1219" i="1"/>
  <c r="T1219" i="1"/>
  <c r="S1220" i="1"/>
  <c r="T1220" i="1"/>
  <c r="T1221" i="1"/>
  <c r="S1222" i="1"/>
  <c r="T1222" i="1"/>
  <c r="T1223" i="1"/>
  <c r="S1224" i="1"/>
  <c r="T1224" i="1"/>
  <c r="S1225" i="1"/>
  <c r="T1225" i="1"/>
  <c r="T1226" i="1"/>
  <c r="T1227" i="1"/>
  <c r="S1228" i="1"/>
  <c r="T1228" i="1"/>
  <c r="S1229" i="1"/>
  <c r="T1229" i="1"/>
  <c r="S1230" i="1"/>
  <c r="T1230" i="1"/>
  <c r="T1231" i="1"/>
  <c r="S1232" i="1"/>
  <c r="T1232" i="1"/>
  <c r="S1233" i="1"/>
  <c r="T1233" i="1"/>
  <c r="S1234" i="1"/>
  <c r="T1234" i="1"/>
  <c r="T1235" i="1"/>
  <c r="S1236" i="1"/>
  <c r="T1236" i="1"/>
  <c r="T1237" i="1"/>
  <c r="S1238" i="1"/>
  <c r="T1238" i="1"/>
  <c r="S1239" i="1"/>
  <c r="T1239" i="1"/>
  <c r="O1240" i="1"/>
  <c r="T1240" i="1"/>
  <c r="S1241" i="1"/>
  <c r="T1241" i="1"/>
  <c r="S1242" i="1"/>
  <c r="T1242" i="1"/>
  <c r="T1243" i="1"/>
  <c r="S1244" i="1"/>
  <c r="T1244" i="1"/>
  <c r="S1245" i="1"/>
  <c r="T1245" i="1"/>
  <c r="S1246" i="1"/>
  <c r="T1246" i="1"/>
  <c r="T1247" i="1"/>
  <c r="S1248" i="1"/>
  <c r="T1248" i="1"/>
  <c r="S1249" i="1"/>
  <c r="T1249" i="1"/>
  <c r="S1250" i="1"/>
  <c r="T1250" i="1"/>
  <c r="S1251" i="1"/>
  <c r="T1251" i="1"/>
  <c r="S1252" i="1"/>
  <c r="T1252" i="1"/>
  <c r="T1253" i="1"/>
  <c r="S1254" i="1"/>
  <c r="T1254" i="1"/>
  <c r="T1255" i="1"/>
  <c r="T1256" i="1"/>
  <c r="S1257" i="1"/>
  <c r="T1257" i="1"/>
  <c r="S1258" i="1"/>
  <c r="T1258" i="1"/>
  <c r="S1259" i="1"/>
  <c r="T1259" i="1"/>
  <c r="S1260" i="1"/>
  <c r="T1260" i="1"/>
  <c r="O1261" i="1"/>
  <c r="S1261" i="1"/>
  <c r="T1261" i="1"/>
  <c r="T1262" i="1"/>
  <c r="T1263" i="1"/>
  <c r="S1264" i="1"/>
  <c r="T1264" i="1"/>
  <c r="S1265" i="1"/>
  <c r="T1265" i="1"/>
  <c r="S1266" i="1"/>
  <c r="T1266" i="1"/>
  <c r="T1267" i="1"/>
  <c r="S1268" i="1"/>
  <c r="T1268" i="1"/>
  <c r="O1269" i="1"/>
  <c r="T1269" i="1"/>
  <c r="S1270" i="1"/>
  <c r="T1270" i="1"/>
  <c r="S1271" i="1"/>
  <c r="T1271" i="1"/>
  <c r="S1272" i="1"/>
  <c r="T1272" i="1"/>
  <c r="S1273" i="1"/>
  <c r="T1273" i="1"/>
  <c r="T1274" i="1"/>
  <c r="S1275" i="1"/>
  <c r="T1275" i="1"/>
  <c r="S1276" i="1"/>
  <c r="T1276" i="1"/>
  <c r="S1277" i="1"/>
  <c r="T1277" i="1"/>
  <c r="O1278" i="1"/>
  <c r="S1278" i="1"/>
  <c r="T1278" i="1"/>
  <c r="T1279" i="1"/>
  <c r="T1280" i="1"/>
  <c r="S1281" i="1"/>
  <c r="T1281" i="1"/>
  <c r="S1282" i="1"/>
  <c r="T1282" i="1"/>
  <c r="T1283" i="1"/>
  <c r="S1284" i="1"/>
  <c r="T1284" i="1"/>
  <c r="S1285" i="1"/>
  <c r="T1285" i="1"/>
  <c r="S1286" i="1"/>
  <c r="T1286" i="1"/>
  <c r="S1287" i="1"/>
  <c r="T1287" i="1"/>
  <c r="O1288" i="1"/>
  <c r="S1288" i="1"/>
  <c r="T1288" i="1"/>
  <c r="S1289" i="1"/>
  <c r="T1289" i="1"/>
  <c r="S1290" i="1"/>
  <c r="T1290" i="1"/>
  <c r="S1291" i="1"/>
  <c r="T1291" i="1"/>
  <c r="T1292" i="1"/>
  <c r="T1293" i="1"/>
  <c r="S1294" i="1"/>
  <c r="T1294" i="1"/>
  <c r="S1295" i="1"/>
  <c r="T1295" i="1"/>
  <c r="S1296" i="1"/>
  <c r="T1296" i="1"/>
  <c r="S1297" i="1"/>
  <c r="T1297" i="1"/>
  <c r="S1298" i="1"/>
  <c r="T1298" i="1"/>
  <c r="T1299" i="1"/>
  <c r="T1300" i="1"/>
  <c r="T1301" i="1"/>
  <c r="S1302" i="1"/>
  <c r="T1302" i="1"/>
  <c r="S1303" i="1"/>
  <c r="T1303" i="1"/>
  <c r="S1304" i="1"/>
  <c r="T1304" i="1"/>
  <c r="S1305" i="1"/>
  <c r="T1305" i="1"/>
  <c r="T1306" i="1"/>
  <c r="O1307" i="1"/>
  <c r="S1307" i="1"/>
  <c r="T1307" i="1"/>
  <c r="S1308" i="1"/>
  <c r="T1308" i="1"/>
  <c r="S1309" i="1"/>
  <c r="T1309" i="1"/>
  <c r="T1310" i="1"/>
  <c r="O1311" i="1"/>
  <c r="S1311" i="1"/>
  <c r="T1311" i="1"/>
  <c r="S1312" i="1"/>
  <c r="T1312" i="1"/>
  <c r="S1313" i="1"/>
  <c r="T1313" i="1"/>
  <c r="S1314" i="1"/>
  <c r="T1314" i="1"/>
  <c r="S1315" i="1"/>
  <c r="T1315" i="1"/>
  <c r="S1316" i="1"/>
  <c r="T1316" i="1"/>
  <c r="S1317" i="1"/>
  <c r="T1317" i="1"/>
  <c r="S1318" i="1"/>
  <c r="T1318" i="1"/>
  <c r="S1319" i="1"/>
  <c r="T1319" i="1"/>
  <c r="S1320" i="1"/>
  <c r="T1320" i="1"/>
  <c r="S1321" i="1"/>
  <c r="T1321" i="1"/>
  <c r="T1322" i="1"/>
  <c r="S1323" i="1"/>
  <c r="T1323" i="1"/>
  <c r="S1324" i="1"/>
  <c r="T1324" i="1"/>
  <c r="S1325" i="1"/>
  <c r="T1325" i="1"/>
  <c r="O1326" i="1"/>
  <c r="S1326" i="1"/>
  <c r="T1326" i="1"/>
  <c r="S1327" i="1"/>
  <c r="T1327" i="1"/>
  <c r="S1328" i="1"/>
  <c r="T1328" i="1"/>
  <c r="O1329" i="1"/>
  <c r="S1329" i="1"/>
  <c r="T1329" i="1"/>
  <c r="S1330" i="1"/>
  <c r="T1330" i="1"/>
  <c r="S1331" i="1"/>
  <c r="T1331" i="1"/>
  <c r="S1332" i="1"/>
  <c r="T1332" i="1"/>
  <c r="T1333" i="1"/>
  <c r="S1334" i="1"/>
  <c r="T1334" i="1"/>
  <c r="S1335" i="1"/>
  <c r="T1335" i="1"/>
  <c r="S1336" i="1"/>
  <c r="T1336" i="1"/>
  <c r="T1337" i="1"/>
  <c r="T1338" i="1"/>
  <c r="S1339" i="1"/>
  <c r="T1339" i="1"/>
  <c r="S1340" i="1"/>
  <c r="T1340" i="1"/>
  <c r="S1341" i="1"/>
  <c r="T1341" i="1"/>
  <c r="T1342" i="1"/>
  <c r="S1343" i="1"/>
  <c r="T1343" i="1"/>
  <c r="S1344" i="1"/>
  <c r="T1344" i="1"/>
  <c r="T1345" i="1"/>
  <c r="S1346" i="1"/>
  <c r="T1346" i="1"/>
  <c r="S1347" i="1"/>
  <c r="T1347" i="1"/>
  <c r="S1348" i="1"/>
  <c r="T1348" i="1"/>
  <c r="S1349" i="1"/>
  <c r="T1349" i="1"/>
  <c r="T1350" i="1"/>
  <c r="S1351" i="1"/>
  <c r="T1351" i="1"/>
  <c r="S1352" i="1"/>
  <c r="T1352" i="1"/>
  <c r="S1353" i="1"/>
  <c r="T1353" i="1"/>
  <c r="S1354" i="1"/>
  <c r="T1354" i="1"/>
  <c r="S1355" i="1"/>
  <c r="T1355" i="1"/>
  <c r="T1356" i="1"/>
  <c r="S1357" i="1"/>
  <c r="T1357" i="1"/>
  <c r="S1358" i="1"/>
  <c r="T1358" i="1"/>
  <c r="T1359" i="1"/>
  <c r="S1360" i="1"/>
  <c r="T1360" i="1"/>
  <c r="S1361" i="1"/>
  <c r="T1361" i="1"/>
  <c r="T1362" i="1"/>
  <c r="T1363" i="1"/>
  <c r="T1364" i="1"/>
  <c r="S1365" i="1"/>
  <c r="T1365" i="1"/>
  <c r="T1366" i="1"/>
  <c r="T1367" i="1"/>
  <c r="T1368" i="1"/>
  <c r="T1369" i="1"/>
  <c r="T1370" i="1"/>
  <c r="S1371" i="1"/>
  <c r="T1371" i="1"/>
  <c r="S1372" i="1"/>
  <c r="T1372" i="1"/>
  <c r="T1373" i="1"/>
  <c r="S1374" i="1"/>
  <c r="T1374" i="1"/>
  <c r="S1375" i="1"/>
  <c r="T1375" i="1"/>
  <c r="O1376" i="1"/>
  <c r="S1376" i="1"/>
  <c r="T1376" i="1"/>
  <c r="T1377" i="1"/>
  <c r="T1378" i="1"/>
  <c r="S1379" i="1"/>
  <c r="T1379" i="1"/>
  <c r="T1380" i="1"/>
  <c r="O1381" i="1"/>
  <c r="S1381" i="1"/>
  <c r="T1381" i="1"/>
  <c r="S1382" i="1"/>
  <c r="T1382" i="1"/>
  <c r="S1383" i="1"/>
  <c r="T1383" i="1"/>
  <c r="T1384" i="1"/>
  <c r="S1385" i="1"/>
  <c r="T1385" i="1"/>
  <c r="O1386" i="1"/>
  <c r="S1386" i="1"/>
  <c r="T1386" i="1"/>
  <c r="S1387" i="1"/>
  <c r="T1387" i="1"/>
  <c r="S1388" i="1"/>
  <c r="T1388" i="1"/>
  <c r="S1389" i="1"/>
  <c r="T1389" i="1"/>
  <c r="S1390" i="1"/>
  <c r="T1390" i="1"/>
  <c r="S1391" i="1"/>
  <c r="T1391" i="1"/>
  <c r="O1392" i="1"/>
  <c r="S1392" i="1"/>
  <c r="T1392" i="1"/>
  <c r="S1393" i="1"/>
  <c r="T1393" i="1"/>
  <c r="T1394" i="1"/>
  <c r="S1395" i="1"/>
  <c r="T1395" i="1"/>
  <c r="S1396" i="1"/>
  <c r="T1396" i="1"/>
  <c r="S1397" i="1"/>
  <c r="T1397" i="1"/>
  <c r="T1398" i="1"/>
  <c r="S1399" i="1"/>
  <c r="T1399" i="1"/>
  <c r="S1400" i="1"/>
  <c r="T1400" i="1"/>
  <c r="S1401" i="1"/>
  <c r="T1401" i="1"/>
  <c r="S1402" i="1"/>
  <c r="T1402" i="1"/>
  <c r="O1403" i="1"/>
  <c r="S1403" i="1"/>
  <c r="T1403" i="1"/>
  <c r="T1404" i="1"/>
  <c r="S1405" i="1"/>
  <c r="T1405" i="1"/>
  <c r="S1406" i="1"/>
  <c r="T1406" i="1"/>
  <c r="S1407" i="1"/>
  <c r="T1407" i="1"/>
  <c r="S1408" i="1"/>
  <c r="T1408" i="1"/>
  <c r="S1409" i="1"/>
  <c r="T1409" i="1"/>
  <c r="S1410" i="1"/>
  <c r="T1410" i="1"/>
  <c r="T1411" i="1"/>
  <c r="O1412" i="1"/>
  <c r="S1412" i="1"/>
  <c r="T1412" i="1"/>
  <c r="S1413" i="1"/>
  <c r="T1413" i="1"/>
  <c r="T1414" i="1"/>
  <c r="S1415" i="1"/>
  <c r="T1415" i="1"/>
  <c r="S1416" i="1"/>
  <c r="T1416" i="1"/>
  <c r="T1417" i="1"/>
  <c r="O1418" i="1"/>
  <c r="S1418" i="1"/>
  <c r="T1418" i="1"/>
  <c r="S1419" i="1"/>
  <c r="T1419" i="1"/>
  <c r="S1420" i="1"/>
  <c r="T1420" i="1"/>
  <c r="S1421" i="1"/>
  <c r="T1421" i="1"/>
  <c r="S1422" i="1"/>
  <c r="T1422" i="1"/>
  <c r="S1423" i="1"/>
  <c r="T1423" i="1"/>
  <c r="T1424" i="1"/>
  <c r="S1425" i="1"/>
  <c r="T1425" i="1"/>
  <c r="S1426" i="1"/>
  <c r="T1426" i="1"/>
  <c r="S1427" i="1"/>
  <c r="T1427" i="1"/>
  <c r="T1428" i="1"/>
  <c r="T1429" i="1"/>
  <c r="T1430" i="1"/>
  <c r="S1431" i="1"/>
  <c r="T1431" i="1"/>
  <c r="T1432" i="1"/>
  <c r="S1433" i="1"/>
  <c r="T1433" i="1"/>
  <c r="T1434" i="1"/>
  <c r="S1435" i="1"/>
  <c r="T1435" i="1"/>
  <c r="S1436" i="1"/>
  <c r="T1436" i="1"/>
  <c r="S1437" i="1"/>
  <c r="T1437" i="1"/>
  <c r="S1438" i="1"/>
  <c r="T1438" i="1"/>
  <c r="S1439" i="1"/>
  <c r="T1439" i="1"/>
  <c r="O1440" i="1"/>
  <c r="T1440" i="1"/>
  <c r="S1441" i="1"/>
  <c r="T1441" i="1"/>
  <c r="T1442" i="1"/>
  <c r="T1443" i="1"/>
  <c r="S1444" i="1"/>
  <c r="T1444" i="1"/>
  <c r="O1445" i="1"/>
  <c r="T1445" i="1"/>
  <c r="S1446" i="1"/>
  <c r="T1446" i="1"/>
  <c r="S1447" i="1"/>
  <c r="T1447" i="1"/>
  <c r="S1448" i="1"/>
  <c r="T1448" i="1"/>
  <c r="O1449" i="1"/>
  <c r="S1449" i="1"/>
  <c r="T1449" i="1"/>
  <c r="S1450" i="1"/>
  <c r="T1450" i="1"/>
  <c r="T1451" i="1"/>
  <c r="T1452" i="1"/>
  <c r="S1453" i="1"/>
  <c r="T1453" i="1"/>
  <c r="S1454" i="1"/>
  <c r="T1454" i="1"/>
  <c r="T1455" i="1"/>
  <c r="S1456" i="1"/>
  <c r="T1456" i="1"/>
  <c r="T1457" i="1"/>
  <c r="T1458" i="1"/>
  <c r="S1459" i="1"/>
  <c r="T1459" i="1"/>
  <c r="S1460" i="1"/>
  <c r="T1460" i="1"/>
  <c r="T1461" i="1"/>
  <c r="O1462" i="1"/>
  <c r="S1462" i="1"/>
  <c r="T1462" i="1"/>
  <c r="S1463" i="1"/>
  <c r="T1463" i="1"/>
  <c r="S1464" i="1"/>
  <c r="T1464" i="1"/>
  <c r="S1465" i="1"/>
  <c r="T1465" i="1"/>
  <c r="O1466" i="1"/>
  <c r="S1466" i="1"/>
  <c r="T1466" i="1"/>
  <c r="S1467" i="1"/>
  <c r="T1467" i="1"/>
  <c r="S1468" i="1"/>
  <c r="T1468" i="1"/>
  <c r="T1469" i="1"/>
  <c r="S1470" i="1"/>
  <c r="T1470" i="1"/>
  <c r="S1471" i="1"/>
  <c r="T1471" i="1"/>
  <c r="S1472" i="1"/>
  <c r="T1472" i="1"/>
  <c r="T1473" i="1"/>
  <c r="T1474" i="1"/>
  <c r="T1475" i="1"/>
  <c r="T1476" i="1"/>
  <c r="T1477" i="1"/>
  <c r="T1478" i="1"/>
  <c r="S1479" i="1"/>
  <c r="T1479" i="1"/>
  <c r="S1480" i="1"/>
  <c r="T1480" i="1"/>
  <c r="S1481" i="1"/>
  <c r="T1481" i="1"/>
  <c r="S1482" i="1"/>
  <c r="T1482" i="1"/>
  <c r="T1483" i="1"/>
  <c r="S1484" i="1"/>
  <c r="T1484" i="1"/>
  <c r="S1485" i="1"/>
  <c r="T1485" i="1"/>
  <c r="S1486" i="1"/>
  <c r="T1486" i="1"/>
  <c r="S1487" i="1"/>
  <c r="T1487" i="1"/>
  <c r="S1488" i="1"/>
  <c r="T1488" i="1"/>
  <c r="O1489" i="1"/>
  <c r="S1489" i="1"/>
  <c r="T1489" i="1"/>
  <c r="O1490" i="1"/>
  <c r="S1490" i="1"/>
  <c r="T1490" i="1"/>
  <c r="S1491" i="1"/>
  <c r="T1491" i="1"/>
  <c r="T1492" i="1"/>
  <c r="T1493" i="1"/>
  <c r="S1494" i="1"/>
  <c r="T1494" i="1"/>
  <c r="T1495" i="1"/>
  <c r="O1496" i="1"/>
  <c r="S1496" i="1"/>
  <c r="T1496" i="1"/>
  <c r="T1497" i="1"/>
  <c r="T1498" i="1"/>
  <c r="S1499" i="1"/>
  <c r="T1499" i="1"/>
  <c r="T1500" i="1"/>
  <c r="S1501" i="1"/>
  <c r="T1501" i="1"/>
  <c r="S1502" i="1"/>
  <c r="T1502" i="1"/>
  <c r="O1503" i="1"/>
  <c r="S1503" i="1"/>
  <c r="T1503" i="1"/>
  <c r="S1504" i="1"/>
  <c r="T1504" i="1"/>
  <c r="O1505" i="1"/>
  <c r="S1505" i="1"/>
  <c r="T1505" i="1"/>
  <c r="S1506" i="1"/>
  <c r="T1506" i="1"/>
  <c r="T1507" i="1"/>
  <c r="S1508" i="1"/>
  <c r="T1508" i="1"/>
  <c r="T1509" i="1"/>
  <c r="S1510" i="1"/>
  <c r="T1510" i="1"/>
  <c r="T1511" i="1"/>
  <c r="T1512" i="1"/>
  <c r="T1513" i="1"/>
  <c r="T1514" i="1"/>
  <c r="S1515" i="1"/>
  <c r="T1515" i="1"/>
  <c r="T1516" i="1"/>
  <c r="S1517" i="1"/>
  <c r="T1517" i="1"/>
  <c r="S1518" i="1"/>
  <c r="T1518" i="1"/>
  <c r="S1519" i="1"/>
  <c r="T1519" i="1"/>
  <c r="S1520" i="1"/>
  <c r="T1520" i="1"/>
  <c r="S1521" i="1"/>
  <c r="T1521" i="1"/>
  <c r="T1522" i="1"/>
  <c r="S1523" i="1"/>
  <c r="T1523" i="1"/>
  <c r="T1524" i="1"/>
  <c r="S1525" i="1"/>
  <c r="T1525" i="1"/>
  <c r="S1526" i="1"/>
  <c r="T1526" i="1"/>
  <c r="S1527" i="1"/>
  <c r="T1527" i="1"/>
  <c r="S1528" i="1"/>
  <c r="T1528" i="1"/>
  <c r="S1529" i="1"/>
  <c r="T1529" i="1"/>
  <c r="S1530" i="1"/>
  <c r="T1530" i="1"/>
  <c r="S1531" i="1"/>
  <c r="T1531" i="1"/>
  <c r="S1532" i="1"/>
  <c r="T1532" i="1"/>
  <c r="S1533" i="1"/>
  <c r="T1533" i="1"/>
  <c r="T1534" i="1"/>
  <c r="T1535" i="1"/>
  <c r="S1536" i="1"/>
  <c r="T1536" i="1"/>
  <c r="S1537" i="1"/>
  <c r="T1537" i="1"/>
  <c r="S1538" i="1"/>
  <c r="T1538" i="1"/>
  <c r="S1539" i="1"/>
  <c r="T1539" i="1"/>
  <c r="S1540" i="1"/>
  <c r="T1540" i="1"/>
  <c r="S1541" i="1"/>
  <c r="T1541" i="1"/>
  <c r="T1542" i="1"/>
  <c r="S1543" i="1"/>
  <c r="T1543" i="1"/>
  <c r="S1544" i="1"/>
  <c r="T1544" i="1"/>
  <c r="S1545" i="1"/>
  <c r="T1545" i="1"/>
  <c r="S1546" i="1"/>
  <c r="T1546" i="1"/>
  <c r="S1547" i="1"/>
  <c r="T1547" i="1"/>
  <c r="T1548" i="1"/>
  <c r="O1549" i="1"/>
  <c r="S1549" i="1"/>
  <c r="T1549" i="1"/>
  <c r="O1550" i="1"/>
  <c r="S1550" i="1"/>
  <c r="T1550" i="1"/>
  <c r="S1551" i="1"/>
  <c r="T1551" i="1"/>
  <c r="S1552" i="1"/>
  <c r="T1552" i="1"/>
  <c r="S1553" i="1"/>
  <c r="T1553" i="1"/>
  <c r="S1554" i="1"/>
  <c r="T1554" i="1"/>
  <c r="S1555" i="1"/>
  <c r="T1555" i="1"/>
  <c r="T1556" i="1"/>
  <c r="T1557" i="1"/>
  <c r="S1558" i="1"/>
  <c r="T1558" i="1"/>
  <c r="O1559" i="1"/>
  <c r="T1559" i="1"/>
  <c r="S1560" i="1"/>
  <c r="T1560" i="1"/>
  <c r="S1561" i="1"/>
  <c r="T1561" i="1"/>
  <c r="T1562" i="1"/>
  <c r="S1563" i="1"/>
  <c r="T1563" i="1"/>
  <c r="S1564" i="1"/>
  <c r="T1564" i="1"/>
  <c r="S1565" i="1"/>
  <c r="T1565" i="1"/>
  <c r="S1566" i="1"/>
  <c r="T1566" i="1"/>
  <c r="S1567" i="1"/>
  <c r="T1567" i="1"/>
  <c r="S1568" i="1"/>
  <c r="T1568" i="1"/>
  <c r="S1569" i="1"/>
  <c r="T1569" i="1"/>
  <c r="O1570" i="1"/>
  <c r="S1570" i="1"/>
  <c r="T1570" i="1"/>
  <c r="S1571" i="1"/>
  <c r="T1571" i="1"/>
  <c r="S1572" i="1"/>
  <c r="T1572" i="1"/>
  <c r="S1573" i="1"/>
  <c r="T1573" i="1"/>
  <c r="S1574" i="1"/>
  <c r="T1574" i="1"/>
  <c r="S1575" i="1"/>
  <c r="T1575" i="1"/>
  <c r="S1576" i="1"/>
  <c r="T1576" i="1"/>
  <c r="S1577" i="1"/>
  <c r="T1577" i="1"/>
  <c r="S1578" i="1"/>
  <c r="T1578" i="1"/>
  <c r="S1579" i="1"/>
  <c r="T1579" i="1"/>
  <c r="T1580" i="1"/>
  <c r="O1581" i="1"/>
  <c r="S1581" i="1"/>
  <c r="T1581" i="1"/>
  <c r="S1582" i="1"/>
  <c r="T1582" i="1"/>
  <c r="S1583" i="1"/>
  <c r="T1583" i="1"/>
  <c r="S1584" i="1"/>
  <c r="T1584" i="1"/>
  <c r="T1585" i="1"/>
  <c r="S1586" i="1"/>
  <c r="T1586" i="1"/>
  <c r="S1587" i="1"/>
  <c r="T1587" i="1"/>
  <c r="T1588" i="1"/>
  <c r="O1589" i="1"/>
  <c r="T1589" i="1"/>
  <c r="O1590" i="1"/>
  <c r="S1590" i="1"/>
  <c r="T1590" i="1"/>
  <c r="S1591" i="1"/>
  <c r="T1591" i="1"/>
  <c r="S1592" i="1"/>
  <c r="T1592" i="1"/>
  <c r="T1593" i="1"/>
  <c r="S1594" i="1"/>
  <c r="T1594" i="1"/>
  <c r="S1595" i="1"/>
  <c r="T1595" i="1"/>
  <c r="S1596" i="1"/>
  <c r="T1596" i="1"/>
  <c r="S1597" i="1"/>
  <c r="T1597" i="1"/>
  <c r="S1598" i="1"/>
  <c r="T1598" i="1"/>
  <c r="S1599" i="1"/>
  <c r="T1599" i="1"/>
  <c r="S1600" i="1"/>
  <c r="T1600" i="1"/>
  <c r="S1601" i="1"/>
  <c r="T1601" i="1"/>
  <c r="S1602" i="1"/>
  <c r="T1602" i="1"/>
  <c r="S1603" i="1"/>
  <c r="T1603" i="1"/>
  <c r="S1604" i="1"/>
  <c r="T1604" i="1"/>
  <c r="T1605" i="1"/>
  <c r="T1606" i="1"/>
  <c r="S1607" i="1"/>
  <c r="T1607" i="1"/>
  <c r="S1608" i="1"/>
  <c r="T1608" i="1"/>
  <c r="T1609" i="1"/>
  <c r="T1610" i="1"/>
  <c r="S1611" i="1"/>
  <c r="T1611" i="1"/>
  <c r="S1612" i="1"/>
  <c r="T1612" i="1"/>
  <c r="T1613" i="1"/>
  <c r="S1614" i="1"/>
  <c r="T1614" i="1"/>
  <c r="T1615" i="1"/>
  <c r="T1616" i="1"/>
  <c r="S1617" i="1"/>
  <c r="T1617" i="1"/>
  <c r="S1618" i="1"/>
  <c r="T1618" i="1"/>
  <c r="S1619" i="1"/>
  <c r="T1619" i="1"/>
  <c r="T1620" i="1"/>
  <c r="S1621" i="1"/>
  <c r="T1621" i="1"/>
  <c r="S1622" i="1"/>
  <c r="T1622" i="1"/>
  <c r="S1623" i="1"/>
  <c r="T1623" i="1"/>
  <c r="T1624" i="1"/>
  <c r="S1625" i="1"/>
  <c r="T1625" i="1"/>
  <c r="S1626" i="1"/>
  <c r="T1626" i="1"/>
  <c r="S1627" i="1"/>
  <c r="T1627" i="1"/>
  <c r="T1628" i="1"/>
  <c r="O1629" i="1"/>
  <c r="S1629" i="1"/>
  <c r="T1629" i="1"/>
  <c r="S1630" i="1"/>
  <c r="T1630" i="1"/>
  <c r="O1631" i="1"/>
  <c r="S1631" i="1"/>
  <c r="T1631" i="1"/>
  <c r="S1632" i="1"/>
  <c r="T1632" i="1"/>
  <c r="S1633" i="1"/>
  <c r="T1633" i="1"/>
  <c r="S1634" i="1"/>
  <c r="T1634" i="1"/>
  <c r="T1635" i="1"/>
  <c r="T1636" i="1"/>
  <c r="T1637" i="1"/>
  <c r="S1638" i="1"/>
  <c r="T1638" i="1"/>
  <c r="S1639" i="1"/>
  <c r="T1639" i="1"/>
  <c r="S1640" i="1"/>
  <c r="T1640" i="1"/>
  <c r="S1641" i="1"/>
  <c r="T1641" i="1"/>
  <c r="S1642" i="1"/>
  <c r="T1642" i="1"/>
  <c r="S1643" i="1"/>
  <c r="T1643" i="1"/>
  <c r="S1644" i="1"/>
  <c r="T1644" i="1"/>
  <c r="S1645" i="1"/>
  <c r="T1645" i="1"/>
  <c r="S1646" i="1"/>
  <c r="T1646" i="1"/>
  <c r="S1647" i="1"/>
  <c r="T1647" i="1"/>
  <c r="S1648" i="1"/>
  <c r="T1648" i="1"/>
  <c r="S1649" i="1"/>
  <c r="T1649" i="1"/>
  <c r="S1650" i="1"/>
  <c r="T1650" i="1"/>
  <c r="S1651" i="1"/>
  <c r="T1651" i="1"/>
  <c r="S1652" i="1"/>
  <c r="T1652" i="1"/>
  <c r="S1653" i="1"/>
  <c r="T1653" i="1"/>
  <c r="S1654" i="1"/>
  <c r="T1654" i="1"/>
  <c r="S1655" i="1"/>
  <c r="T1655" i="1"/>
  <c r="T1656" i="1"/>
  <c r="S1657" i="1"/>
  <c r="T1657" i="1"/>
  <c r="S1658" i="1"/>
  <c r="T1658" i="1"/>
  <c r="S1659" i="1"/>
  <c r="T1659" i="1"/>
  <c r="S1660" i="1"/>
  <c r="T1660" i="1"/>
  <c r="S1661" i="1"/>
  <c r="T1661" i="1"/>
  <c r="S1662" i="1"/>
  <c r="T1662" i="1"/>
  <c r="S1663" i="1"/>
  <c r="T1663" i="1"/>
  <c r="S1664" i="1"/>
  <c r="T1664" i="1"/>
  <c r="S1665" i="1"/>
  <c r="T1665" i="1"/>
  <c r="S1666" i="1"/>
  <c r="T1666" i="1"/>
  <c r="S1667" i="1"/>
  <c r="T1667" i="1"/>
  <c r="S1668" i="1"/>
  <c r="T1668" i="1"/>
  <c r="S1669" i="1"/>
  <c r="T1669" i="1"/>
  <c r="S1670" i="1"/>
  <c r="T1670" i="1"/>
  <c r="S1671" i="1"/>
  <c r="T1671" i="1"/>
  <c r="T1672" i="1"/>
  <c r="S1673" i="1"/>
  <c r="T1673" i="1"/>
  <c r="T1674" i="1"/>
  <c r="T1675" i="1"/>
  <c r="S1676" i="1"/>
  <c r="T1676" i="1"/>
  <c r="T1677" i="1"/>
  <c r="S1678" i="1"/>
  <c r="T1678" i="1"/>
  <c r="O1679" i="1"/>
  <c r="S1679" i="1"/>
  <c r="T1679" i="1"/>
  <c r="S1680" i="1"/>
  <c r="T1680" i="1"/>
  <c r="S1681" i="1"/>
  <c r="T1681" i="1"/>
  <c r="O1682" i="1"/>
  <c r="S1682" i="1"/>
  <c r="T1682" i="1"/>
  <c r="T1683" i="1"/>
  <c r="S1684" i="1"/>
  <c r="T1684" i="1"/>
  <c r="S1685" i="1"/>
  <c r="T1685" i="1"/>
  <c r="S1686" i="1"/>
  <c r="T1686" i="1"/>
  <c r="S1687" i="1"/>
  <c r="T1687" i="1"/>
  <c r="S1688" i="1"/>
  <c r="T1688" i="1"/>
  <c r="T1689" i="1"/>
  <c r="S1690" i="1"/>
  <c r="T1690" i="1"/>
  <c r="S1691" i="1"/>
  <c r="T1691" i="1"/>
  <c r="S1692" i="1"/>
  <c r="T1692" i="1"/>
  <c r="T1693" i="1"/>
  <c r="S1694" i="1"/>
  <c r="T1694" i="1"/>
  <c r="S1695" i="1"/>
  <c r="T1695" i="1"/>
  <c r="S1696" i="1"/>
  <c r="T1696" i="1"/>
  <c r="S1697" i="1"/>
  <c r="T1697" i="1"/>
  <c r="S1698" i="1"/>
  <c r="T1698" i="1"/>
  <c r="T1699" i="1"/>
  <c r="T1700" i="1"/>
  <c r="T1701" i="1"/>
  <c r="S1702" i="1"/>
  <c r="T1702" i="1"/>
  <c r="S1703" i="1"/>
  <c r="T1703" i="1"/>
  <c r="T1704" i="1"/>
  <c r="S1705" i="1"/>
  <c r="T1705" i="1"/>
  <c r="T1706" i="1"/>
  <c r="S1707" i="1"/>
  <c r="T1707" i="1"/>
  <c r="S1708" i="1"/>
  <c r="T1708" i="1"/>
  <c r="T1709" i="1"/>
  <c r="S1710" i="1"/>
  <c r="T1710" i="1"/>
  <c r="S1711" i="1"/>
  <c r="T1711" i="1"/>
  <c r="T1712" i="1"/>
  <c r="S1713" i="1"/>
  <c r="T1713" i="1"/>
  <c r="T1714" i="1"/>
  <c r="S1715" i="1"/>
  <c r="T1715" i="1"/>
  <c r="T1716" i="1"/>
  <c r="S1717" i="1"/>
  <c r="T1717" i="1"/>
  <c r="S1718" i="1"/>
  <c r="T1718" i="1"/>
  <c r="T1719" i="1"/>
  <c r="S1720" i="1"/>
  <c r="T1720" i="1"/>
  <c r="S1721" i="1"/>
  <c r="T1721" i="1"/>
  <c r="T1722" i="1"/>
  <c r="O1723" i="1"/>
  <c r="S1723" i="1"/>
  <c r="T1723" i="1"/>
  <c r="S1724" i="1"/>
  <c r="T1724" i="1"/>
  <c r="T1725" i="1"/>
  <c r="S1726" i="1"/>
  <c r="T1726" i="1"/>
  <c r="S1727" i="1"/>
  <c r="T1727" i="1"/>
  <c r="S1728" i="1"/>
  <c r="T1728" i="1"/>
  <c r="S1729" i="1"/>
  <c r="T1729" i="1"/>
  <c r="S1730" i="1"/>
  <c r="T1730" i="1"/>
  <c r="S1731" i="1"/>
  <c r="T1731" i="1"/>
  <c r="T1732" i="1"/>
  <c r="S1733" i="1"/>
  <c r="T1733" i="1"/>
  <c r="T1734" i="1"/>
  <c r="T1735" i="1"/>
  <c r="S1736" i="1"/>
  <c r="T1736" i="1"/>
  <c r="S1737" i="1"/>
  <c r="T1737" i="1"/>
  <c r="S1738" i="1"/>
  <c r="T1738" i="1"/>
  <c r="T1739" i="1"/>
  <c r="T1740" i="1"/>
  <c r="S1741" i="1"/>
  <c r="T1741" i="1"/>
  <c r="S1742" i="1"/>
  <c r="T1742" i="1"/>
  <c r="T1743" i="1"/>
  <c r="T1744" i="1"/>
  <c r="T1745" i="1"/>
  <c r="T1746" i="1"/>
  <c r="O1747" i="1"/>
  <c r="S1747" i="1"/>
  <c r="T1747" i="1"/>
  <c r="S1748" i="1"/>
  <c r="T1748" i="1"/>
  <c r="S1749" i="1"/>
  <c r="T1749" i="1"/>
  <c r="T1750" i="1"/>
  <c r="S1751" i="1"/>
  <c r="T1751" i="1"/>
  <c r="S1752" i="1"/>
  <c r="T1752" i="1"/>
  <c r="S1753" i="1"/>
  <c r="T1753" i="1"/>
  <c r="O1754" i="1"/>
  <c r="S1754" i="1"/>
  <c r="T1754" i="1"/>
  <c r="S1755" i="1"/>
  <c r="T1755" i="1"/>
  <c r="S1756" i="1"/>
  <c r="T1756" i="1"/>
  <c r="S1757" i="1"/>
  <c r="T1757" i="1"/>
  <c r="S1758" i="1"/>
  <c r="T1758" i="1"/>
  <c r="S1759" i="1"/>
  <c r="T1759" i="1"/>
  <c r="T1760" i="1"/>
  <c r="S1761" i="1"/>
  <c r="T1761" i="1"/>
  <c r="T1762" i="1"/>
  <c r="S1763" i="1"/>
  <c r="T1763" i="1"/>
  <c r="S1764" i="1"/>
  <c r="T1764" i="1"/>
  <c r="T1765" i="1"/>
  <c r="O1766" i="1"/>
  <c r="S1766" i="1"/>
  <c r="T1766" i="1"/>
  <c r="S1767" i="1"/>
  <c r="T1767" i="1"/>
  <c r="T1768" i="1"/>
  <c r="S1769" i="1"/>
  <c r="T1769" i="1"/>
  <c r="S1770" i="1"/>
  <c r="T1770" i="1"/>
  <c r="S1771" i="1"/>
  <c r="T1771" i="1"/>
  <c r="S1772" i="1"/>
  <c r="T1772" i="1"/>
  <c r="T1773" i="1"/>
  <c r="S1774" i="1"/>
  <c r="T1774" i="1"/>
  <c r="S1775" i="1"/>
  <c r="T1775" i="1"/>
  <c r="S1776" i="1"/>
  <c r="T1776" i="1"/>
  <c r="S1777" i="1"/>
  <c r="T1777" i="1"/>
  <c r="T1778" i="1"/>
  <c r="S1779" i="1"/>
  <c r="T1779" i="1"/>
  <c r="S1780" i="1"/>
  <c r="T1780" i="1"/>
  <c r="S1781" i="1"/>
  <c r="T1781" i="1"/>
  <c r="T1782" i="1"/>
  <c r="S1783" i="1"/>
  <c r="T1783" i="1"/>
  <c r="T1784" i="1"/>
  <c r="O1785" i="1"/>
  <c r="S1785" i="1"/>
  <c r="T1785" i="1"/>
  <c r="S1786" i="1"/>
  <c r="T1786" i="1"/>
  <c r="T1787" i="1"/>
  <c r="O1788" i="1"/>
  <c r="S1788" i="1"/>
  <c r="T1788" i="1"/>
  <c r="O1789" i="1"/>
  <c r="S1789" i="1"/>
  <c r="T1789" i="1"/>
  <c r="T1790" i="1"/>
  <c r="O1791" i="1"/>
  <c r="T1791" i="1"/>
  <c r="S1792" i="1"/>
  <c r="T1792" i="1"/>
  <c r="S1793" i="1"/>
  <c r="T1793" i="1"/>
  <c r="S1794" i="1"/>
  <c r="T1794" i="1"/>
  <c r="S1795" i="1"/>
  <c r="T1795" i="1"/>
  <c r="T1796" i="1"/>
  <c r="S1797" i="1"/>
  <c r="T1797" i="1"/>
  <c r="S1798" i="1"/>
  <c r="T1798" i="1"/>
  <c r="T1799" i="1"/>
  <c r="T1800" i="1"/>
  <c r="S1801" i="1"/>
  <c r="T1801" i="1"/>
  <c r="S1802" i="1"/>
  <c r="T1802" i="1"/>
  <c r="S1803" i="1"/>
  <c r="T1803" i="1"/>
  <c r="O1804" i="1"/>
  <c r="S1804" i="1"/>
  <c r="T1804" i="1"/>
  <c r="S1805" i="1"/>
  <c r="T1805" i="1"/>
  <c r="S1806" i="1"/>
  <c r="T1806" i="1"/>
  <c r="S1807" i="1"/>
  <c r="T1807" i="1"/>
  <c r="T1808" i="1"/>
  <c r="T1809" i="1"/>
  <c r="S1810" i="1"/>
  <c r="T1810" i="1"/>
  <c r="S1811" i="1"/>
  <c r="T1811" i="1"/>
  <c r="S1812" i="1"/>
  <c r="T1812" i="1"/>
  <c r="O1813" i="1"/>
  <c r="S1813" i="1"/>
  <c r="T1813" i="1"/>
  <c r="T1814" i="1"/>
  <c r="S1815" i="1"/>
  <c r="T1815" i="1"/>
  <c r="S1816" i="1"/>
  <c r="T1816" i="1"/>
  <c r="S1817" i="1"/>
  <c r="T1817" i="1"/>
  <c r="T1818" i="1"/>
  <c r="S1819" i="1"/>
  <c r="T1819" i="1"/>
  <c r="S1820" i="1"/>
  <c r="T1820" i="1"/>
  <c r="S1821" i="1"/>
  <c r="T1821" i="1"/>
  <c r="S1822" i="1"/>
  <c r="T1822" i="1"/>
  <c r="S1823" i="1"/>
  <c r="T1823" i="1"/>
  <c r="T1824" i="1"/>
  <c r="T1825" i="1"/>
  <c r="S1826" i="1"/>
  <c r="T1826" i="1"/>
  <c r="S1827" i="1"/>
  <c r="T1827" i="1"/>
  <c r="S1828" i="1"/>
  <c r="T1828" i="1"/>
  <c r="S1829" i="1"/>
  <c r="T1829" i="1"/>
  <c r="S1830" i="1"/>
  <c r="T1830" i="1"/>
  <c r="T1831" i="1"/>
  <c r="T1832" i="1"/>
  <c r="T1833" i="1"/>
  <c r="S1834" i="1"/>
  <c r="T1834" i="1"/>
  <c r="T1835" i="1"/>
  <c r="S1836" i="1"/>
  <c r="T1836" i="1"/>
  <c r="S1837" i="1"/>
  <c r="T1837" i="1"/>
  <c r="S1838" i="1"/>
  <c r="T1838" i="1"/>
  <c r="S1839" i="1"/>
  <c r="T1839" i="1"/>
  <c r="S1840" i="1"/>
  <c r="T1840" i="1"/>
  <c r="S1841" i="1"/>
  <c r="T1841" i="1"/>
  <c r="S1842" i="1"/>
  <c r="T1842" i="1"/>
  <c r="T1843" i="1"/>
  <c r="T1844" i="1"/>
  <c r="S1845" i="1"/>
  <c r="T1845" i="1"/>
  <c r="S1846" i="1"/>
  <c r="T1846" i="1"/>
  <c r="T1847" i="1"/>
  <c r="S1848" i="1"/>
  <c r="T1848" i="1"/>
  <c r="S1849" i="1"/>
  <c r="T1849" i="1"/>
  <c r="T1850" i="1"/>
  <c r="S1851" i="1"/>
  <c r="T1851" i="1"/>
  <c r="S1852" i="1"/>
  <c r="T1852" i="1"/>
  <c r="S1853" i="1"/>
  <c r="T1853" i="1"/>
  <c r="S1854" i="1"/>
  <c r="T1854" i="1"/>
  <c r="S1855" i="1"/>
  <c r="T1855" i="1"/>
  <c r="O1856" i="1"/>
  <c r="S1856" i="1"/>
  <c r="T1856" i="1"/>
  <c r="S1857" i="1"/>
  <c r="T1857" i="1"/>
  <c r="S1858" i="1"/>
  <c r="T1858" i="1"/>
  <c r="S1859" i="1"/>
  <c r="T1859" i="1"/>
  <c r="S1860" i="1"/>
  <c r="T1860" i="1"/>
  <c r="S1861" i="1"/>
  <c r="T1861" i="1"/>
  <c r="T1862" i="1"/>
  <c r="T1863" i="1"/>
  <c r="S1864" i="1"/>
  <c r="T1864" i="1"/>
  <c r="S1865" i="1"/>
  <c r="T1865" i="1"/>
  <c r="S1866" i="1"/>
  <c r="T1866" i="1"/>
  <c r="S1867" i="1"/>
  <c r="T1867" i="1"/>
  <c r="S1868" i="1"/>
  <c r="T1868" i="1"/>
  <c r="S1869" i="1"/>
  <c r="T1869" i="1"/>
  <c r="S1870" i="1"/>
  <c r="T1870" i="1"/>
  <c r="S1871" i="1"/>
  <c r="T1871" i="1"/>
  <c r="O1872" i="1"/>
  <c r="S1872" i="1"/>
  <c r="T1872" i="1"/>
  <c r="T1873" i="1"/>
  <c r="S1874" i="1"/>
  <c r="T1874" i="1"/>
  <c r="O1875" i="1"/>
  <c r="S1875" i="1"/>
  <c r="T1875" i="1"/>
  <c r="S1876" i="1"/>
  <c r="T1876" i="1"/>
  <c r="T1877" i="1"/>
  <c r="S1878" i="1"/>
  <c r="T1878" i="1"/>
  <c r="S1879" i="1"/>
  <c r="T1879" i="1"/>
  <c r="S1880" i="1"/>
  <c r="T1880" i="1"/>
  <c r="S1881" i="1"/>
  <c r="T1881" i="1"/>
  <c r="T1882" i="1"/>
  <c r="S1883" i="1"/>
  <c r="T1883" i="1"/>
  <c r="S1884" i="1"/>
  <c r="T1884" i="1"/>
  <c r="S1885" i="1"/>
  <c r="T1885" i="1"/>
  <c r="S1886" i="1"/>
  <c r="T1886" i="1"/>
  <c r="O1887" i="1"/>
  <c r="S1887" i="1"/>
  <c r="T1887" i="1"/>
  <c r="T1888" i="1"/>
  <c r="T1889" i="1"/>
  <c r="S1890" i="1"/>
  <c r="T1890" i="1"/>
  <c r="S1891" i="1"/>
  <c r="T1891" i="1"/>
  <c r="S1892" i="1"/>
  <c r="T1892" i="1"/>
  <c r="S1893" i="1"/>
  <c r="T1893" i="1"/>
  <c r="S1894" i="1"/>
  <c r="T1894" i="1"/>
  <c r="S1895" i="1"/>
  <c r="T1895" i="1"/>
  <c r="S1896" i="1"/>
  <c r="T1896" i="1"/>
  <c r="S1897" i="1"/>
  <c r="T1897" i="1"/>
  <c r="S1898" i="1"/>
  <c r="T1898" i="1"/>
  <c r="S1899" i="1"/>
  <c r="T1899" i="1"/>
  <c r="S1900" i="1"/>
  <c r="T1900" i="1"/>
  <c r="S1901" i="1"/>
  <c r="T1901" i="1"/>
  <c r="S1902" i="1"/>
  <c r="T1902" i="1"/>
  <c r="S1903" i="1"/>
  <c r="T1903" i="1"/>
  <c r="S1904" i="1"/>
  <c r="T1904" i="1"/>
  <c r="T1905" i="1"/>
  <c r="S1906" i="1"/>
  <c r="T1906" i="1"/>
  <c r="S1907" i="1"/>
  <c r="T1907" i="1"/>
  <c r="O1908" i="1"/>
  <c r="S1908" i="1"/>
  <c r="T1908" i="1"/>
  <c r="O1909" i="1"/>
  <c r="S1909" i="1"/>
  <c r="T1909" i="1"/>
  <c r="S1910" i="1"/>
  <c r="T1910" i="1"/>
  <c r="S1911" i="1"/>
  <c r="T1911" i="1"/>
  <c r="S1912" i="1"/>
  <c r="T1912" i="1"/>
  <c r="S1913" i="1"/>
  <c r="T1913" i="1"/>
  <c r="S1914" i="1"/>
  <c r="T1914" i="1"/>
  <c r="S1915" i="1"/>
  <c r="T1915" i="1"/>
  <c r="T1916" i="1"/>
  <c r="S1917" i="1"/>
  <c r="T1917" i="1"/>
  <c r="S1918" i="1"/>
  <c r="T1918" i="1"/>
  <c r="S1919" i="1"/>
  <c r="T1919" i="1"/>
  <c r="T1920" i="1"/>
  <c r="S1921" i="1"/>
  <c r="T1921" i="1"/>
  <c r="S1922" i="1"/>
  <c r="T1922" i="1"/>
  <c r="S1923" i="1"/>
  <c r="T1923" i="1"/>
  <c r="S1924" i="1"/>
  <c r="T1924" i="1"/>
  <c r="T1925" i="1"/>
  <c r="S1926" i="1"/>
  <c r="T1926" i="1"/>
  <c r="O1927" i="1"/>
  <c r="S1927" i="1"/>
  <c r="T1927" i="1"/>
  <c r="O1928" i="1"/>
  <c r="S1928" i="1"/>
  <c r="T1928" i="1"/>
  <c r="T1929" i="1"/>
  <c r="S1930" i="1"/>
  <c r="T1930" i="1"/>
  <c r="S1931" i="1"/>
  <c r="T1931" i="1"/>
  <c r="O1932" i="1"/>
  <c r="S1932" i="1"/>
  <c r="T1932" i="1"/>
  <c r="T1933" i="1"/>
  <c r="T1934" i="1"/>
  <c r="S1935" i="1"/>
  <c r="T1935" i="1"/>
  <c r="S1936" i="1"/>
  <c r="T1936" i="1"/>
  <c r="S1937" i="1"/>
  <c r="T1937" i="1"/>
  <c r="S1938" i="1"/>
  <c r="T1938" i="1"/>
  <c r="S1939" i="1"/>
  <c r="T1939" i="1"/>
  <c r="S1940" i="1"/>
  <c r="T1940" i="1"/>
  <c r="S1941" i="1"/>
  <c r="T1941" i="1"/>
  <c r="S1942" i="1"/>
  <c r="T1942" i="1"/>
  <c r="S1943" i="1"/>
  <c r="T1943" i="1"/>
  <c r="S1944" i="1"/>
  <c r="T1944" i="1"/>
  <c r="S1945" i="1"/>
  <c r="T1945" i="1"/>
  <c r="S1946" i="1"/>
  <c r="T1946" i="1"/>
  <c r="S1947" i="1"/>
  <c r="T1947" i="1"/>
  <c r="S1948" i="1"/>
  <c r="T1948" i="1"/>
  <c r="S1949" i="1"/>
  <c r="T1949" i="1"/>
  <c r="S1950" i="1"/>
  <c r="T1950" i="1"/>
  <c r="S1951" i="1"/>
  <c r="T1951" i="1"/>
  <c r="S1952" i="1"/>
  <c r="T1952" i="1"/>
  <c r="S1953" i="1"/>
  <c r="T1953" i="1"/>
  <c r="S1954" i="1"/>
  <c r="T1954" i="1"/>
  <c r="S1955" i="1"/>
  <c r="T1955" i="1"/>
  <c r="T1956" i="1"/>
  <c r="S1957" i="1"/>
  <c r="T1957" i="1"/>
  <c r="T1958" i="1"/>
  <c r="S1959" i="1"/>
  <c r="T1959" i="1"/>
  <c r="T1960" i="1"/>
  <c r="S1961" i="1"/>
  <c r="T1961" i="1"/>
  <c r="T1962" i="1"/>
  <c r="T1963" i="1"/>
  <c r="T1964" i="1"/>
  <c r="S1965" i="1"/>
  <c r="T1965" i="1"/>
  <c r="S1966" i="1"/>
  <c r="T1966" i="1"/>
  <c r="S1967" i="1"/>
  <c r="T1967" i="1"/>
  <c r="S1968" i="1"/>
  <c r="T1968" i="1"/>
  <c r="S1969" i="1"/>
  <c r="T1969" i="1"/>
  <c r="S1970" i="1"/>
  <c r="T1970" i="1"/>
  <c r="S1971" i="1"/>
  <c r="T1971" i="1"/>
  <c r="S1972" i="1"/>
  <c r="T1972" i="1"/>
  <c r="S1973" i="1"/>
  <c r="T1973" i="1"/>
  <c r="S1974" i="1"/>
  <c r="T1974" i="1"/>
  <c r="T1975" i="1"/>
  <c r="T1976" i="1"/>
  <c r="S1977" i="1"/>
  <c r="T1977" i="1"/>
  <c r="S1978" i="1"/>
  <c r="T1978" i="1"/>
  <c r="T1979" i="1"/>
  <c r="S1980" i="1"/>
  <c r="T1980" i="1"/>
  <c r="S1981" i="1"/>
  <c r="T1981" i="1"/>
  <c r="S1982" i="1"/>
  <c r="T1982" i="1"/>
  <c r="S1983" i="1"/>
  <c r="T1983" i="1"/>
  <c r="S1984" i="1"/>
  <c r="T1984" i="1"/>
  <c r="T1985" i="1"/>
  <c r="S1986" i="1"/>
  <c r="T1986" i="1"/>
  <c r="T1987" i="1"/>
  <c r="S1988" i="1"/>
  <c r="T1988" i="1"/>
  <c r="O1989" i="1"/>
  <c r="S1989" i="1"/>
  <c r="T1989" i="1"/>
  <c r="S1990" i="1"/>
  <c r="T1990" i="1"/>
  <c r="S1991" i="1"/>
  <c r="T1991" i="1"/>
  <c r="S1992" i="1"/>
  <c r="T1992" i="1"/>
  <c r="S1993" i="1"/>
  <c r="T1993" i="1"/>
  <c r="S1994" i="1"/>
  <c r="T1994" i="1"/>
  <c r="T1995" i="1"/>
  <c r="T1996" i="1"/>
  <c r="S1997" i="1"/>
  <c r="T1997" i="1"/>
  <c r="S1998" i="1"/>
  <c r="T1998" i="1"/>
  <c r="S1999" i="1"/>
  <c r="T1999" i="1"/>
  <c r="S2000" i="1"/>
  <c r="T2000" i="1"/>
  <c r="S2001" i="1"/>
  <c r="T2001" i="1"/>
  <c r="S2002" i="1"/>
  <c r="T2002" i="1"/>
  <c r="S2003" i="1"/>
  <c r="T2003" i="1"/>
  <c r="T2004" i="1"/>
  <c r="S2005" i="1"/>
  <c r="T2005" i="1"/>
  <c r="S2006" i="1"/>
  <c r="T2006" i="1"/>
  <c r="S2007" i="1"/>
  <c r="T2007" i="1"/>
  <c r="T2008" i="1"/>
  <c r="S2009" i="1"/>
  <c r="T2009" i="1"/>
  <c r="S2010" i="1"/>
  <c r="T2010" i="1"/>
  <c r="S2011" i="1"/>
  <c r="T2011" i="1"/>
  <c r="T2012" i="1"/>
  <c r="S2013" i="1"/>
  <c r="T2013" i="1"/>
  <c r="T2014" i="1"/>
  <c r="T2015" i="1"/>
  <c r="S2016" i="1"/>
  <c r="T2016" i="1"/>
  <c r="S2017" i="1"/>
  <c r="T2017" i="1"/>
  <c r="S2018" i="1"/>
  <c r="T2018" i="1"/>
  <c r="O2019" i="1"/>
  <c r="S2019" i="1"/>
  <c r="T2019" i="1"/>
  <c r="T2020" i="1"/>
  <c r="S2021" i="1"/>
  <c r="T2021" i="1"/>
  <c r="S2022" i="1"/>
  <c r="T2022" i="1"/>
  <c r="S2023" i="1"/>
  <c r="T2023" i="1"/>
  <c r="S2024" i="1"/>
  <c r="T2024" i="1"/>
  <c r="O2025" i="1"/>
  <c r="S2025" i="1"/>
  <c r="T2025" i="1"/>
  <c r="S2026" i="1"/>
  <c r="T2026" i="1"/>
  <c r="S2027" i="1"/>
  <c r="T2027" i="1"/>
  <c r="O2028" i="1"/>
  <c r="S2028" i="1"/>
  <c r="T2028" i="1"/>
  <c r="S2029" i="1"/>
  <c r="T2029" i="1"/>
  <c r="S2030" i="1"/>
  <c r="T2030" i="1"/>
  <c r="S2031" i="1"/>
  <c r="T2031" i="1"/>
  <c r="T2032" i="1"/>
  <c r="T2033" i="1"/>
  <c r="S2034" i="1"/>
  <c r="T2034" i="1"/>
  <c r="T2035" i="1"/>
  <c r="T2036" i="1"/>
  <c r="S2037" i="1"/>
  <c r="T2037" i="1"/>
  <c r="S2038" i="1"/>
  <c r="T2038" i="1"/>
  <c r="S2039" i="1"/>
  <c r="T2039" i="1"/>
  <c r="S2040" i="1"/>
  <c r="T2040" i="1"/>
  <c r="S2041" i="1"/>
  <c r="T2041" i="1"/>
  <c r="S2042" i="1"/>
  <c r="T2042" i="1"/>
  <c r="T2043" i="1"/>
  <c r="T2044" i="1"/>
  <c r="S2045" i="1"/>
  <c r="T2045" i="1"/>
  <c r="S2046" i="1"/>
  <c r="T2046" i="1"/>
  <c r="S2047" i="1"/>
  <c r="T2047" i="1"/>
  <c r="S2048" i="1"/>
  <c r="T2048" i="1"/>
  <c r="T2049" i="1"/>
  <c r="S2050" i="1"/>
  <c r="T2050" i="1"/>
  <c r="T2051" i="1"/>
  <c r="T2052" i="1"/>
  <c r="S2053" i="1"/>
  <c r="T2053" i="1"/>
  <c r="T2054" i="1"/>
  <c r="S2055" i="1"/>
  <c r="T2055" i="1"/>
  <c r="S2056" i="1"/>
  <c r="T2056" i="1"/>
  <c r="S2057" i="1"/>
  <c r="T2057" i="1"/>
  <c r="S2058" i="1"/>
  <c r="T2058" i="1"/>
  <c r="S2059" i="1"/>
  <c r="T2059" i="1"/>
  <c r="S2060" i="1"/>
  <c r="T2060" i="1"/>
  <c r="S2061" i="1"/>
  <c r="T2061" i="1"/>
  <c r="S2062" i="1"/>
  <c r="T2062" i="1"/>
  <c r="S2063" i="1"/>
  <c r="T2063" i="1"/>
  <c r="T2064" i="1"/>
  <c r="S2065" i="1"/>
  <c r="T2065" i="1"/>
  <c r="S2066" i="1"/>
  <c r="T2066" i="1"/>
  <c r="T2067" i="1"/>
  <c r="T2068" i="1"/>
  <c r="S2069" i="1"/>
  <c r="T2069" i="1"/>
  <c r="T2070" i="1"/>
  <c r="T2071" i="1"/>
  <c r="T2072" i="1"/>
  <c r="S2073" i="1"/>
  <c r="T2073" i="1"/>
  <c r="T2074" i="1"/>
  <c r="S2075" i="1"/>
  <c r="T2075" i="1"/>
  <c r="T2076" i="1"/>
  <c r="S2077" i="1"/>
  <c r="T2077" i="1"/>
  <c r="S2078" i="1"/>
  <c r="T2078" i="1"/>
  <c r="T2079" i="1"/>
  <c r="S2080" i="1"/>
  <c r="T2080" i="1"/>
  <c r="S2081" i="1"/>
  <c r="T2081" i="1"/>
  <c r="S2082" i="1"/>
  <c r="T2082" i="1"/>
  <c r="S2083" i="1"/>
  <c r="T2083" i="1"/>
  <c r="S2084" i="1"/>
  <c r="T2084" i="1"/>
  <c r="T2085" i="1"/>
  <c r="S2086" i="1"/>
  <c r="T2086" i="1"/>
  <c r="S2087" i="1"/>
  <c r="T2087" i="1"/>
  <c r="S2088" i="1"/>
  <c r="T2088" i="1"/>
  <c r="S2089" i="1"/>
  <c r="T2089" i="1"/>
  <c r="S2090" i="1"/>
  <c r="T2090" i="1"/>
  <c r="S2091" i="1"/>
  <c r="T2091" i="1"/>
  <c r="S2092" i="1"/>
  <c r="T2092" i="1"/>
  <c r="S2093" i="1"/>
  <c r="T2093" i="1"/>
  <c r="S2094" i="1"/>
  <c r="T2094" i="1"/>
  <c r="S2095" i="1"/>
  <c r="T2095" i="1"/>
  <c r="S2096" i="1"/>
  <c r="T2096" i="1"/>
  <c r="S2097" i="1"/>
  <c r="T2097" i="1"/>
  <c r="T2098" i="1"/>
  <c r="T2099" i="1"/>
  <c r="S2100" i="1"/>
  <c r="T2100" i="1"/>
  <c r="S2101" i="1"/>
  <c r="T2101" i="1"/>
  <c r="S2102" i="1"/>
  <c r="T2102" i="1"/>
  <c r="T2103" i="1"/>
  <c r="T2104" i="1"/>
  <c r="S2105" i="1"/>
  <c r="T2105" i="1"/>
  <c r="S2106" i="1"/>
  <c r="T2106" i="1"/>
  <c r="S2107" i="1"/>
  <c r="T2107" i="1"/>
  <c r="S2108" i="1"/>
  <c r="T2108" i="1"/>
  <c r="O2109" i="1"/>
  <c r="S2109" i="1"/>
  <c r="T2109" i="1"/>
  <c r="S2110" i="1"/>
  <c r="T2110" i="1"/>
  <c r="T2111" i="1"/>
  <c r="T2112" i="1"/>
  <c r="S2113" i="1"/>
  <c r="T2113" i="1"/>
  <c r="S2114" i="1"/>
  <c r="T2114" i="1"/>
  <c r="T2115" i="1"/>
  <c r="T2116" i="1"/>
  <c r="S2117" i="1"/>
  <c r="T2117" i="1"/>
  <c r="S2118" i="1"/>
  <c r="T2118" i="1"/>
  <c r="S2119" i="1"/>
  <c r="T2119" i="1"/>
  <c r="S2120" i="1"/>
  <c r="T2120" i="1"/>
  <c r="S2121" i="1"/>
  <c r="T2121" i="1"/>
  <c r="S2122" i="1"/>
  <c r="T2122" i="1"/>
  <c r="T2123" i="1"/>
  <c r="S2124" i="1"/>
  <c r="T2124" i="1"/>
  <c r="T2125" i="1"/>
  <c r="O2126" i="1"/>
  <c r="S2126" i="1"/>
  <c r="T2126" i="1"/>
  <c r="S2127" i="1"/>
  <c r="T2127" i="1"/>
  <c r="S2128" i="1"/>
  <c r="T2128" i="1"/>
  <c r="S2129" i="1"/>
  <c r="T2129" i="1"/>
  <c r="T2130" i="1"/>
  <c r="S2131" i="1"/>
  <c r="T2131" i="1"/>
  <c r="S2132" i="1"/>
  <c r="T2132" i="1"/>
  <c r="S2133" i="1"/>
  <c r="T2133" i="1"/>
  <c r="S2134" i="1"/>
  <c r="T2134" i="1"/>
  <c r="O2135" i="1"/>
  <c r="S2135" i="1"/>
  <c r="T2135" i="1"/>
  <c r="T2136" i="1"/>
  <c r="S2137" i="1"/>
  <c r="T2137" i="1"/>
  <c r="T2138" i="1"/>
  <c r="S2139" i="1"/>
  <c r="T2139" i="1"/>
  <c r="S2140" i="1"/>
  <c r="T2140" i="1"/>
  <c r="S2141" i="1"/>
  <c r="T2141" i="1"/>
  <c r="S2142" i="1"/>
  <c r="T2142" i="1"/>
  <c r="T2143" i="1"/>
  <c r="S2144" i="1"/>
  <c r="T2144" i="1"/>
  <c r="S2145" i="1"/>
  <c r="T2145" i="1"/>
  <c r="T2146" i="1"/>
  <c r="T2147" i="1"/>
  <c r="S2148" i="1"/>
  <c r="T2148" i="1"/>
  <c r="S2149" i="1"/>
  <c r="T2149" i="1"/>
  <c r="T2150" i="1"/>
  <c r="S2151" i="1"/>
  <c r="T2151" i="1"/>
  <c r="S2152" i="1"/>
  <c r="T2152" i="1"/>
  <c r="S2153" i="1"/>
  <c r="T2153" i="1"/>
  <c r="S2154" i="1"/>
  <c r="T2154" i="1"/>
  <c r="S2155" i="1"/>
  <c r="T2155" i="1"/>
  <c r="O2156" i="1"/>
  <c r="S2156" i="1"/>
  <c r="T2156" i="1"/>
  <c r="S2157" i="1"/>
  <c r="T2157" i="1"/>
  <c r="O2158" i="1"/>
  <c r="S2158" i="1"/>
  <c r="T2158" i="1"/>
  <c r="S2159" i="1"/>
  <c r="T2159" i="1"/>
  <c r="T2160" i="1"/>
  <c r="S2161" i="1"/>
  <c r="T2161" i="1"/>
  <c r="S2162" i="1"/>
  <c r="T2162" i="1"/>
  <c r="S2163" i="1"/>
  <c r="T2163" i="1"/>
  <c r="S2164" i="1"/>
  <c r="T2164" i="1"/>
  <c r="O2165" i="1"/>
  <c r="T2165" i="1"/>
  <c r="S2166" i="1"/>
  <c r="T2166" i="1"/>
  <c r="S2167" i="1"/>
  <c r="T2167" i="1"/>
  <c r="S2168" i="1"/>
  <c r="T2168" i="1"/>
  <c r="T2169" i="1"/>
  <c r="S2170" i="1"/>
  <c r="T2170" i="1"/>
  <c r="S2171" i="1"/>
  <c r="T2171" i="1"/>
  <c r="S2172" i="1"/>
  <c r="T2172" i="1"/>
  <c r="T2173" i="1"/>
  <c r="S2174" i="1"/>
  <c r="T2174" i="1"/>
  <c r="S2175" i="1"/>
  <c r="T2175" i="1"/>
  <c r="T2176" i="1"/>
  <c r="T2177" i="1"/>
  <c r="T2178" i="1"/>
  <c r="S2179" i="1"/>
  <c r="T2179" i="1"/>
  <c r="S2180" i="1"/>
  <c r="T2180" i="1"/>
  <c r="S2181" i="1"/>
  <c r="T2181" i="1"/>
  <c r="T2182" i="1"/>
  <c r="S2183" i="1"/>
  <c r="T2183" i="1"/>
  <c r="S2184" i="1"/>
  <c r="T2184" i="1"/>
  <c r="S2185" i="1"/>
  <c r="T2185" i="1"/>
  <c r="T2186" i="1"/>
  <c r="S2187" i="1"/>
  <c r="T2187" i="1"/>
  <c r="S2188" i="1"/>
  <c r="T2188" i="1"/>
  <c r="S2189" i="1"/>
  <c r="T2189" i="1"/>
  <c r="S2190" i="1"/>
  <c r="T2190" i="1"/>
  <c r="T2191" i="1"/>
  <c r="S2192" i="1"/>
  <c r="T2192" i="1"/>
  <c r="S2193" i="1"/>
  <c r="T2193" i="1"/>
  <c r="T2194" i="1"/>
  <c r="T2195" i="1"/>
  <c r="S2196" i="1"/>
  <c r="T2196" i="1"/>
  <c r="T2197" i="1"/>
  <c r="S2198" i="1"/>
  <c r="T2198" i="1"/>
  <c r="S2199" i="1"/>
  <c r="T2199" i="1"/>
  <c r="S2200" i="1"/>
  <c r="T2200" i="1"/>
  <c r="O2201" i="1"/>
  <c r="S2201" i="1"/>
  <c r="T2201" i="1"/>
  <c r="S2202" i="1"/>
  <c r="T2202" i="1"/>
  <c r="S2203" i="1"/>
  <c r="T2203" i="1"/>
  <c r="T2204" i="1"/>
  <c r="T2205" i="1"/>
  <c r="S2206" i="1"/>
  <c r="T2206" i="1"/>
  <c r="S2207" i="1"/>
  <c r="T2207" i="1"/>
  <c r="S2208" i="1"/>
  <c r="T2208" i="1"/>
  <c r="O2209" i="1"/>
  <c r="S2209" i="1"/>
  <c r="T2209" i="1"/>
  <c r="S2210" i="1"/>
  <c r="T2210" i="1"/>
  <c r="S2211" i="1"/>
  <c r="T2211" i="1"/>
  <c r="O2212" i="1"/>
  <c r="S2212" i="1"/>
  <c r="T2212" i="1"/>
  <c r="S2213" i="1"/>
  <c r="T2213" i="1"/>
  <c r="T2214" i="1"/>
  <c r="S2215" i="1"/>
  <c r="T2215" i="1"/>
  <c r="S2216" i="1"/>
  <c r="T2216" i="1"/>
  <c r="S2217" i="1"/>
  <c r="T2217" i="1"/>
  <c r="S2218" i="1"/>
  <c r="T2218" i="1"/>
  <c r="S2219" i="1"/>
  <c r="T2219" i="1"/>
  <c r="T2220" i="1"/>
  <c r="S2221" i="1"/>
  <c r="T2221" i="1"/>
  <c r="T2222" i="1"/>
  <c r="S2223" i="1"/>
  <c r="T2223" i="1"/>
  <c r="S2224" i="1"/>
  <c r="T2224" i="1"/>
  <c r="S2225" i="1"/>
  <c r="T2225" i="1"/>
  <c r="S2226" i="1"/>
  <c r="T2226" i="1"/>
  <c r="S2227" i="1"/>
  <c r="T2227" i="1"/>
  <c r="S2228" i="1"/>
  <c r="T2228" i="1"/>
  <c r="S2229" i="1"/>
  <c r="T2229" i="1"/>
  <c r="S2230" i="1"/>
  <c r="T2230" i="1"/>
  <c r="S2231" i="1"/>
  <c r="T2231" i="1"/>
  <c r="S2232" i="1"/>
  <c r="T2232" i="1"/>
  <c r="S2233" i="1"/>
  <c r="T2233" i="1"/>
  <c r="S2234" i="1"/>
  <c r="T2234" i="1"/>
  <c r="T2235" i="1"/>
  <c r="S2236" i="1"/>
  <c r="T2236" i="1"/>
  <c r="S2237" i="1"/>
  <c r="T2237" i="1"/>
  <c r="T2238" i="1"/>
  <c r="S2239" i="1"/>
  <c r="T2239" i="1"/>
  <c r="S2240" i="1"/>
  <c r="T2240" i="1"/>
  <c r="S2241" i="1"/>
  <c r="T2241" i="1"/>
  <c r="T2242" i="1"/>
  <c r="T2243" i="1"/>
  <c r="S2244" i="1"/>
  <c r="T2244" i="1"/>
  <c r="T2245" i="1"/>
  <c r="S2246" i="1"/>
  <c r="T2246" i="1"/>
  <c r="S2247" i="1"/>
  <c r="T2247" i="1"/>
  <c r="S2248" i="1"/>
  <c r="T2248" i="1"/>
  <c r="S2249" i="1"/>
  <c r="T2249" i="1"/>
  <c r="S2250" i="1"/>
  <c r="T2250" i="1"/>
  <c r="T2251" i="1"/>
  <c r="T2252" i="1"/>
  <c r="S2253" i="1"/>
  <c r="T2253" i="1"/>
  <c r="S2254" i="1"/>
  <c r="T2254" i="1"/>
  <c r="S2255" i="1"/>
  <c r="T2255" i="1"/>
  <c r="S2256" i="1"/>
  <c r="T2256" i="1"/>
  <c r="S2257" i="1"/>
  <c r="T2257" i="1"/>
  <c r="S2258" i="1"/>
  <c r="T2258" i="1"/>
  <c r="S2259" i="1"/>
  <c r="T2259" i="1"/>
  <c r="S2260" i="1"/>
  <c r="T2260" i="1"/>
  <c r="T2261" i="1"/>
  <c r="S2262" i="1"/>
  <c r="T2262" i="1"/>
  <c r="S2263" i="1"/>
  <c r="T2263" i="1"/>
  <c r="S2264" i="1"/>
  <c r="T2264" i="1"/>
  <c r="T2265" i="1"/>
  <c r="T2266" i="1"/>
  <c r="S2267" i="1"/>
  <c r="T2267" i="1"/>
  <c r="S2268" i="1"/>
  <c r="T2268" i="1"/>
  <c r="O2269" i="1"/>
  <c r="S2269" i="1"/>
  <c r="T2269" i="1"/>
  <c r="S2270" i="1"/>
  <c r="T2270" i="1"/>
  <c r="T2271" i="1"/>
  <c r="T2272" i="1"/>
  <c r="T2273" i="1"/>
  <c r="T2274" i="1"/>
  <c r="S2275" i="1"/>
  <c r="T2275" i="1"/>
  <c r="O2276" i="1"/>
  <c r="S2276" i="1"/>
  <c r="T2276" i="1"/>
  <c r="S2277" i="1"/>
  <c r="T2277" i="1"/>
  <c r="T2278" i="1"/>
  <c r="S2279" i="1"/>
  <c r="T2279" i="1"/>
  <c r="S2280" i="1"/>
  <c r="T2280" i="1"/>
  <c r="O2281" i="1"/>
  <c r="S2281" i="1"/>
  <c r="T2281" i="1"/>
  <c r="O2282" i="1"/>
  <c r="S2282" i="1"/>
  <c r="T2282" i="1"/>
  <c r="T2283" i="1"/>
  <c r="T2284" i="1"/>
  <c r="S2285" i="1"/>
  <c r="T2285" i="1"/>
  <c r="T2286" i="1"/>
  <c r="S2287" i="1"/>
  <c r="T2287" i="1"/>
  <c r="S2288" i="1"/>
  <c r="T2288" i="1"/>
  <c r="T2289" i="1"/>
  <c r="O2290" i="1"/>
  <c r="S2290" i="1"/>
  <c r="T2290" i="1"/>
  <c r="S2291" i="1"/>
  <c r="T2291" i="1"/>
  <c r="S2292" i="1"/>
  <c r="T2292" i="1"/>
  <c r="S2293" i="1"/>
  <c r="T2293" i="1"/>
  <c r="S2294" i="1"/>
  <c r="T2294" i="1"/>
  <c r="S2295" i="1"/>
  <c r="T2295" i="1"/>
  <c r="S2296" i="1"/>
  <c r="T2296" i="1"/>
  <c r="S2297" i="1"/>
  <c r="T2297" i="1"/>
  <c r="T2298" i="1"/>
  <c r="T2299" i="1"/>
  <c r="S2300" i="1"/>
  <c r="T2300" i="1"/>
  <c r="S2301" i="1"/>
  <c r="T2301" i="1"/>
  <c r="S2302" i="1"/>
  <c r="T2302" i="1"/>
  <c r="S2303" i="1"/>
  <c r="T2303" i="1"/>
  <c r="S2304" i="1"/>
  <c r="T2304" i="1"/>
  <c r="S2305" i="1"/>
  <c r="T2305" i="1"/>
  <c r="S2306" i="1"/>
  <c r="T2306" i="1"/>
  <c r="S2307" i="1"/>
  <c r="T2307" i="1"/>
  <c r="O2308" i="1"/>
  <c r="S2308" i="1"/>
  <c r="T2308" i="1"/>
  <c r="S2309" i="1"/>
  <c r="T2309" i="1"/>
  <c r="O2310" i="1"/>
  <c r="S2310" i="1"/>
  <c r="T2310" i="1"/>
  <c r="T2311" i="1"/>
  <c r="T2312" i="1"/>
  <c r="T2313" i="1"/>
  <c r="S2314" i="1"/>
  <c r="T2314" i="1"/>
  <c r="S2315" i="1"/>
  <c r="T2315" i="1"/>
  <c r="S2316" i="1"/>
  <c r="T2316" i="1"/>
  <c r="S2317" i="1"/>
  <c r="T2317" i="1"/>
  <c r="S2318" i="1"/>
  <c r="T2318" i="1"/>
  <c r="S2319" i="1"/>
  <c r="T2319" i="1"/>
  <c r="S2320" i="1"/>
  <c r="T2320" i="1"/>
  <c r="T2321" i="1"/>
  <c r="T2322" i="1"/>
  <c r="S2323" i="1"/>
  <c r="T2323" i="1"/>
  <c r="T2324" i="1"/>
  <c r="T2325" i="1"/>
  <c r="O2326" i="1"/>
  <c r="S2326" i="1"/>
  <c r="T2326" i="1"/>
  <c r="S2327" i="1"/>
  <c r="T2327" i="1"/>
  <c r="T2328" i="1"/>
  <c r="T2329" i="1"/>
  <c r="T2330" i="1"/>
  <c r="S2331" i="1"/>
  <c r="T2331" i="1"/>
  <c r="T2332" i="1"/>
  <c r="S2333" i="1"/>
  <c r="T2333" i="1"/>
  <c r="S2334" i="1"/>
  <c r="T2334" i="1"/>
  <c r="T2335" i="1"/>
  <c r="T2336" i="1"/>
  <c r="S2337" i="1"/>
  <c r="T2337" i="1"/>
  <c r="S2338" i="1"/>
  <c r="T2338" i="1"/>
  <c r="S2339" i="1"/>
  <c r="T2339" i="1"/>
  <c r="T2340" i="1"/>
  <c r="S2341" i="1"/>
  <c r="T2341" i="1"/>
  <c r="S2342" i="1"/>
  <c r="T2342" i="1"/>
  <c r="T2343" i="1"/>
  <c r="S2344" i="1"/>
  <c r="T2344" i="1"/>
  <c r="T2345" i="1"/>
  <c r="S2346" i="1"/>
  <c r="T2346" i="1"/>
  <c r="T2347" i="1"/>
  <c r="S2348" i="1"/>
  <c r="T2348" i="1"/>
  <c r="S2349" i="1"/>
  <c r="T2349" i="1"/>
  <c r="T2350" i="1"/>
  <c r="S2351" i="1"/>
  <c r="T2351" i="1"/>
  <c r="T2352" i="1"/>
  <c r="S2353" i="1"/>
  <c r="T2353" i="1"/>
  <c r="S2354" i="1"/>
  <c r="T2354" i="1"/>
  <c r="S2355" i="1"/>
  <c r="T2355" i="1"/>
  <c r="S2356" i="1"/>
  <c r="T2356" i="1"/>
  <c r="S2357" i="1"/>
  <c r="T2357" i="1"/>
  <c r="S2358" i="1"/>
  <c r="T2358" i="1"/>
  <c r="T2359" i="1"/>
  <c r="T2360" i="1"/>
  <c r="S2361" i="1"/>
  <c r="T2361" i="1"/>
  <c r="S2362" i="1"/>
  <c r="T2362" i="1"/>
  <c r="T2363" i="1"/>
  <c r="S2364" i="1"/>
  <c r="T2364" i="1"/>
  <c r="S2365" i="1"/>
  <c r="T2365" i="1"/>
  <c r="S2366" i="1"/>
  <c r="T2366" i="1"/>
  <c r="S2367" i="1"/>
  <c r="T2367" i="1"/>
  <c r="S2368" i="1"/>
  <c r="T2368" i="1"/>
  <c r="S2369" i="1"/>
  <c r="T2369" i="1"/>
  <c r="S2370" i="1"/>
  <c r="T2370" i="1"/>
  <c r="T2371" i="1"/>
  <c r="S2372" i="1"/>
  <c r="T2372" i="1"/>
  <c r="T2373" i="1"/>
  <c r="T2374" i="1"/>
  <c r="S2375" i="1"/>
  <c r="T2375" i="1"/>
  <c r="T2376" i="1"/>
  <c r="S2377" i="1"/>
  <c r="T2377" i="1"/>
  <c r="T2378" i="1"/>
  <c r="S2379" i="1"/>
  <c r="T2379" i="1"/>
  <c r="T2380" i="1"/>
  <c r="S2381" i="1"/>
  <c r="T2381" i="1"/>
  <c r="S2382" i="1"/>
  <c r="T2382" i="1"/>
  <c r="T2383" i="1"/>
  <c r="T2384" i="1"/>
  <c r="S2385" i="1"/>
  <c r="T2385" i="1"/>
  <c r="S2386" i="1"/>
  <c r="T2386" i="1"/>
  <c r="O2387" i="1"/>
  <c r="S2387" i="1"/>
  <c r="T2387" i="1"/>
  <c r="S2388" i="1"/>
  <c r="T2388" i="1"/>
  <c r="S2389" i="1"/>
  <c r="T2389" i="1"/>
  <c r="S2390" i="1"/>
  <c r="T2390" i="1"/>
  <c r="T2391" i="1"/>
  <c r="T2392" i="1"/>
  <c r="T2393" i="1"/>
  <c r="S2394" i="1"/>
  <c r="T2394" i="1"/>
  <c r="T2395" i="1"/>
  <c r="S2396" i="1"/>
  <c r="T2396" i="1"/>
  <c r="S2397" i="1"/>
  <c r="T2397" i="1"/>
  <c r="T2398" i="1"/>
  <c r="T2399" i="1"/>
  <c r="S2400" i="1"/>
  <c r="T2400" i="1"/>
  <c r="O2401" i="1"/>
  <c r="T2401" i="1"/>
  <c r="S2402" i="1"/>
  <c r="T2402" i="1"/>
  <c r="S2403" i="1"/>
  <c r="T2403" i="1"/>
  <c r="S2404" i="1"/>
  <c r="T2404" i="1"/>
  <c r="T2405" i="1"/>
  <c r="T2406" i="1"/>
  <c r="T2407" i="1"/>
  <c r="O2408" i="1"/>
  <c r="S2408" i="1"/>
  <c r="T2408" i="1"/>
  <c r="T2409" i="1"/>
  <c r="S2410" i="1"/>
  <c r="T2410" i="1"/>
  <c r="T2411" i="1"/>
  <c r="S2412" i="1"/>
  <c r="T2412" i="1"/>
  <c r="S2413" i="1"/>
  <c r="T2413" i="1"/>
  <c r="O2414" i="1"/>
  <c r="S2414" i="1"/>
  <c r="T2414" i="1"/>
  <c r="S2415" i="1"/>
  <c r="T2415" i="1"/>
  <c r="S2416" i="1"/>
  <c r="T2416" i="1"/>
  <c r="S2417" i="1"/>
  <c r="T2417" i="1"/>
  <c r="S2418" i="1"/>
  <c r="T2418" i="1"/>
  <c r="S2419" i="1"/>
  <c r="T2419" i="1"/>
  <c r="S2420" i="1"/>
  <c r="T2420" i="1"/>
  <c r="T2421" i="1"/>
  <c r="S2422" i="1"/>
  <c r="T2422" i="1"/>
  <c r="S2423" i="1"/>
  <c r="T2423" i="1"/>
  <c r="S2424" i="1"/>
  <c r="T2424" i="1"/>
  <c r="S2425" i="1"/>
  <c r="T2425" i="1"/>
  <c r="S2426" i="1"/>
  <c r="T2426" i="1"/>
  <c r="T2427" i="1"/>
  <c r="S2428" i="1"/>
  <c r="T2428" i="1"/>
  <c r="S2429" i="1"/>
  <c r="T2429" i="1"/>
  <c r="S2430" i="1"/>
  <c r="T2430" i="1"/>
  <c r="T2431" i="1"/>
  <c r="T2432" i="1"/>
  <c r="S2433" i="1"/>
  <c r="T2433" i="1"/>
  <c r="S2434" i="1"/>
  <c r="T2434" i="1"/>
  <c r="S2435" i="1"/>
  <c r="T2435" i="1"/>
  <c r="T2436" i="1"/>
  <c r="T2437" i="1"/>
  <c r="S2438" i="1"/>
  <c r="T2438" i="1"/>
  <c r="T2439" i="1"/>
  <c r="S2440" i="1"/>
  <c r="T2440" i="1"/>
  <c r="T2441" i="1"/>
  <c r="S2442" i="1"/>
  <c r="T2442" i="1"/>
  <c r="S2443" i="1"/>
  <c r="T2443" i="1"/>
  <c r="S2444" i="1"/>
  <c r="T2444" i="1"/>
  <c r="O2445" i="1"/>
  <c r="S2445" i="1"/>
  <c r="T2445" i="1"/>
  <c r="T2446" i="1"/>
  <c r="O2447" i="1"/>
  <c r="S2447" i="1"/>
  <c r="T2447" i="1"/>
  <c r="S2448" i="1"/>
  <c r="T2448" i="1"/>
  <c r="T2449" i="1"/>
  <c r="T2450" i="1"/>
  <c r="T2451" i="1"/>
  <c r="S2452" i="1"/>
  <c r="T2452" i="1"/>
  <c r="T2453" i="1"/>
  <c r="S2454" i="1"/>
  <c r="T2454" i="1"/>
  <c r="T2455" i="1"/>
  <c r="S2456" i="1"/>
  <c r="T2456" i="1"/>
  <c r="T2457" i="1"/>
  <c r="S2458" i="1"/>
  <c r="T2458" i="1"/>
  <c r="S2459" i="1"/>
  <c r="T2459" i="1"/>
  <c r="O2460" i="1"/>
  <c r="S2460" i="1"/>
  <c r="T2460" i="1"/>
  <c r="S2461" i="1"/>
  <c r="T2461" i="1"/>
  <c r="T2462" i="1"/>
  <c r="S2463" i="1"/>
  <c r="T2463" i="1"/>
  <c r="S2464" i="1"/>
  <c r="T2464" i="1"/>
  <c r="S2465" i="1"/>
  <c r="T2465" i="1"/>
  <c r="T2466" i="1"/>
  <c r="T2467" i="1"/>
  <c r="S2468" i="1"/>
  <c r="T2468" i="1"/>
  <c r="S2469" i="1"/>
  <c r="T2469" i="1"/>
  <c r="S2470" i="1"/>
  <c r="T2470" i="1"/>
  <c r="T2471" i="1"/>
  <c r="T2472" i="1"/>
  <c r="S2473" i="1"/>
  <c r="T2473" i="1"/>
  <c r="S2474" i="1"/>
  <c r="T2474" i="1"/>
  <c r="S2475" i="1"/>
  <c r="T2475" i="1"/>
  <c r="T2476" i="1"/>
  <c r="S2477" i="1"/>
  <c r="T2477" i="1"/>
  <c r="S2478" i="1"/>
  <c r="T2478" i="1"/>
  <c r="S2479" i="1"/>
  <c r="T2479" i="1"/>
  <c r="T2480" i="1"/>
  <c r="S2481" i="1"/>
  <c r="T2481" i="1"/>
  <c r="S2482" i="1"/>
  <c r="T2482" i="1"/>
  <c r="S2483" i="1"/>
  <c r="T2483" i="1"/>
  <c r="T2484" i="1"/>
  <c r="S2485" i="1"/>
  <c r="T2485" i="1"/>
  <c r="S2486" i="1"/>
  <c r="T2486" i="1"/>
  <c r="T2487" i="1"/>
  <c r="T2488" i="1"/>
  <c r="T2489" i="1"/>
  <c r="O2490" i="1"/>
  <c r="S2490" i="1"/>
  <c r="T2490" i="1"/>
  <c r="S2491" i="1"/>
  <c r="T2491" i="1"/>
  <c r="S2492" i="1"/>
  <c r="T2492" i="1"/>
  <c r="T2493" i="1"/>
  <c r="S2494" i="1"/>
  <c r="T2494" i="1"/>
  <c r="S2495" i="1"/>
  <c r="T2495" i="1"/>
  <c r="T2496" i="1"/>
  <c r="S2497" i="1"/>
  <c r="T2497" i="1"/>
  <c r="T2498" i="1"/>
  <c r="S2499" i="1"/>
  <c r="T2499" i="1"/>
  <c r="S2500" i="1"/>
  <c r="T2500" i="1"/>
  <c r="S2501" i="1"/>
  <c r="T2501" i="1"/>
  <c r="T2502" i="1"/>
  <c r="O2503" i="1"/>
  <c r="S2503" i="1"/>
  <c r="T2503" i="1"/>
  <c r="T2504" i="1"/>
  <c r="S2505" i="1"/>
  <c r="T2505" i="1"/>
  <c r="S2506" i="1"/>
  <c r="T2506" i="1"/>
  <c r="S2507" i="1"/>
  <c r="T2507" i="1"/>
  <c r="T2508" i="1"/>
  <c r="S2509" i="1"/>
  <c r="T2509" i="1"/>
  <c r="S2510" i="1"/>
  <c r="T2510" i="1"/>
  <c r="S2511" i="1"/>
  <c r="T2511" i="1"/>
  <c r="S2512" i="1"/>
  <c r="T2512" i="1"/>
  <c r="T2513" i="1"/>
  <c r="S2514" i="1"/>
  <c r="T2514" i="1"/>
  <c r="S2515" i="1"/>
  <c r="T2515" i="1"/>
  <c r="T2516" i="1"/>
  <c r="S2517" i="1"/>
  <c r="T2517" i="1"/>
  <c r="T2518" i="1"/>
  <c r="T2519" i="1"/>
  <c r="S2520" i="1"/>
  <c r="T2520" i="1"/>
  <c r="T2521" i="1"/>
  <c r="T2522" i="1"/>
  <c r="S2523" i="1"/>
  <c r="T2523" i="1"/>
  <c r="S2524" i="1"/>
  <c r="T2524" i="1"/>
  <c r="S2525" i="1"/>
  <c r="T2525" i="1"/>
  <c r="T2526" i="1"/>
  <c r="S2527" i="1"/>
  <c r="T2527" i="1"/>
  <c r="T2528" i="1"/>
  <c r="S2529" i="1"/>
  <c r="T2529" i="1"/>
  <c r="T2530" i="1"/>
  <c r="O2531" i="1"/>
  <c r="S2531" i="1"/>
  <c r="T2531" i="1"/>
  <c r="S2532" i="1"/>
  <c r="T2532" i="1"/>
  <c r="S2533" i="1"/>
  <c r="T2533" i="1"/>
  <c r="T2534" i="1"/>
  <c r="S2535" i="1"/>
  <c r="T2535" i="1"/>
  <c r="S2536" i="1"/>
  <c r="T2536" i="1"/>
  <c r="O2537" i="1"/>
  <c r="T2537" i="1"/>
  <c r="S2538" i="1"/>
  <c r="T2538" i="1"/>
  <c r="S2539" i="1"/>
  <c r="T2539" i="1"/>
  <c r="S2540" i="1"/>
  <c r="T2540" i="1"/>
  <c r="O2541" i="1"/>
  <c r="S2541" i="1"/>
  <c r="T2541" i="1"/>
  <c r="S2542" i="1"/>
  <c r="T2542" i="1"/>
  <c r="S2543" i="1"/>
  <c r="T2543" i="1"/>
  <c r="S2544" i="1"/>
  <c r="T2544" i="1"/>
  <c r="S2545" i="1"/>
  <c r="T2545" i="1"/>
  <c r="S2546" i="1"/>
  <c r="T2546" i="1"/>
  <c r="T2547" i="1"/>
  <c r="S2548" i="1"/>
  <c r="T2548" i="1"/>
  <c r="S2549" i="1"/>
  <c r="T2549" i="1"/>
  <c r="S2550" i="1"/>
  <c r="T2550" i="1"/>
  <c r="T2551" i="1"/>
  <c r="S2552" i="1"/>
  <c r="T2552" i="1"/>
  <c r="T2553" i="1"/>
  <c r="S2554" i="1"/>
  <c r="T2554" i="1"/>
  <c r="O2555" i="1"/>
  <c r="S2555" i="1"/>
  <c r="T2555" i="1"/>
  <c r="T2556" i="1"/>
  <c r="S2557" i="1"/>
  <c r="T2557" i="1"/>
  <c r="T2558" i="1"/>
  <c r="S2559" i="1"/>
  <c r="T2559" i="1"/>
  <c r="S2560" i="1"/>
  <c r="T2560" i="1"/>
  <c r="S2561" i="1"/>
  <c r="T2561" i="1"/>
  <c r="T2562" i="1"/>
  <c r="S2563" i="1"/>
  <c r="T2563" i="1"/>
  <c r="O2564" i="1"/>
  <c r="S2564" i="1"/>
  <c r="T2564" i="1"/>
  <c r="S2565" i="1"/>
  <c r="T2565" i="1"/>
  <c r="S2566" i="1"/>
  <c r="T2566" i="1"/>
  <c r="S2567" i="1"/>
  <c r="T2567" i="1"/>
  <c r="T2568" i="1"/>
  <c r="T2569" i="1"/>
  <c r="S2570" i="1"/>
  <c r="T2570" i="1"/>
  <c r="O2571" i="1"/>
  <c r="S2571" i="1"/>
  <c r="T2571" i="1"/>
  <c r="T2572" i="1"/>
  <c r="S2573" i="1"/>
  <c r="T2573" i="1"/>
  <c r="T2574" i="1"/>
  <c r="S2575" i="1"/>
  <c r="T2575" i="1"/>
  <c r="O2576" i="1"/>
  <c r="S2576" i="1"/>
  <c r="T2576" i="1"/>
  <c r="S2577" i="1"/>
  <c r="T2577" i="1"/>
  <c r="S2578" i="1"/>
  <c r="T2578" i="1"/>
  <c r="S2579" i="1"/>
  <c r="T2579" i="1"/>
  <c r="S2580" i="1"/>
  <c r="T2580" i="1"/>
  <c r="S2581" i="1"/>
  <c r="T2581" i="1"/>
  <c r="S2582" i="1"/>
  <c r="T2582" i="1"/>
  <c r="O2583" i="1"/>
  <c r="S2583" i="1"/>
  <c r="T2583" i="1"/>
  <c r="T2584" i="1"/>
  <c r="S2585" i="1"/>
  <c r="T2585" i="1"/>
  <c r="S2586" i="1"/>
  <c r="T2586" i="1"/>
  <c r="S2587" i="1"/>
  <c r="T2587" i="1"/>
  <c r="S2588" i="1"/>
  <c r="T2588" i="1"/>
  <c r="T2589" i="1"/>
  <c r="T2590" i="1"/>
  <c r="S2591" i="1"/>
  <c r="T2591" i="1"/>
  <c r="S2592" i="1"/>
  <c r="T2592" i="1"/>
  <c r="S2593" i="1"/>
  <c r="T2593" i="1"/>
  <c r="T2594" i="1"/>
  <c r="S2595" i="1"/>
  <c r="T2595" i="1"/>
  <c r="S2596" i="1"/>
  <c r="T2596" i="1"/>
  <c r="S2597" i="1"/>
  <c r="T2597" i="1"/>
  <c r="S2598" i="1"/>
  <c r="T2598" i="1"/>
  <c r="S2599" i="1"/>
  <c r="T2599" i="1"/>
  <c r="S2600" i="1"/>
  <c r="T2600" i="1"/>
  <c r="S2601" i="1"/>
  <c r="T2601" i="1"/>
  <c r="T2602" i="1"/>
  <c r="S2603" i="1"/>
  <c r="T2603" i="1"/>
  <c r="S2604" i="1"/>
  <c r="T2604" i="1"/>
  <c r="S2605" i="1"/>
  <c r="T2605" i="1"/>
  <c r="S2606" i="1"/>
  <c r="T2606" i="1"/>
  <c r="S2607" i="1"/>
  <c r="T2607" i="1"/>
  <c r="S2608" i="1"/>
  <c r="T2608" i="1"/>
  <c r="S2609" i="1"/>
  <c r="T2609" i="1"/>
  <c r="S2610" i="1"/>
  <c r="T2610" i="1"/>
  <c r="S2611" i="1"/>
  <c r="T2611" i="1"/>
  <c r="S2612" i="1"/>
  <c r="T2612" i="1"/>
  <c r="S2613" i="1"/>
  <c r="T2613" i="1"/>
  <c r="T2614" i="1"/>
  <c r="S2615" i="1"/>
  <c r="T2615" i="1"/>
  <c r="S2616" i="1"/>
  <c r="T2616" i="1"/>
  <c r="T2617" i="1"/>
  <c r="O2618" i="1"/>
  <c r="S2618" i="1"/>
  <c r="T2618" i="1"/>
  <c r="S2619" i="1"/>
  <c r="T2619" i="1"/>
  <c r="S2620" i="1"/>
  <c r="T2620" i="1"/>
  <c r="S2621" i="1"/>
  <c r="T2621" i="1"/>
  <c r="S2622" i="1"/>
  <c r="T2622" i="1"/>
  <c r="S2623" i="1"/>
  <c r="T2623" i="1"/>
  <c r="S2624" i="1"/>
  <c r="T2624" i="1"/>
  <c r="S2625" i="1"/>
  <c r="T2625" i="1"/>
  <c r="S2626" i="1"/>
  <c r="T2626" i="1"/>
  <c r="S2627" i="1"/>
  <c r="T2627" i="1"/>
  <c r="T2628" i="1"/>
  <c r="S2629" i="1"/>
  <c r="T2629" i="1"/>
  <c r="S2630" i="1"/>
  <c r="T2630" i="1"/>
  <c r="S2631" i="1"/>
  <c r="T2631" i="1"/>
  <c r="O2632" i="1"/>
  <c r="S2632" i="1"/>
  <c r="T2632" i="1"/>
  <c r="T2633" i="1"/>
  <c r="S2634" i="1"/>
  <c r="T2634" i="1"/>
  <c r="S2635" i="1"/>
  <c r="T2635" i="1"/>
  <c r="T2636" i="1"/>
  <c r="S2637" i="1"/>
  <c r="T2637" i="1"/>
  <c r="T2638" i="1"/>
  <c r="T2639" i="1"/>
  <c r="S2640" i="1"/>
  <c r="T2640" i="1"/>
  <c r="S2641" i="1"/>
  <c r="T2641" i="1"/>
  <c r="S2642" i="1"/>
  <c r="T2642" i="1"/>
  <c r="S2643" i="1"/>
  <c r="T2643" i="1"/>
  <c r="S2644" i="1"/>
  <c r="T2644" i="1"/>
  <c r="T2645" i="1"/>
  <c r="S2646" i="1"/>
  <c r="T2646" i="1"/>
  <c r="S2647" i="1"/>
  <c r="T2647" i="1"/>
  <c r="S2648" i="1"/>
  <c r="T2648" i="1"/>
  <c r="S2649" i="1"/>
  <c r="T2649" i="1"/>
  <c r="S2650" i="1"/>
  <c r="T2650" i="1"/>
  <c r="T2651" i="1"/>
  <c r="S2652" i="1"/>
  <c r="T2652" i="1"/>
  <c r="S2653" i="1"/>
  <c r="T2653" i="1"/>
  <c r="T2654" i="1"/>
  <c r="S2655" i="1"/>
  <c r="T2655" i="1"/>
  <c r="S2656" i="1"/>
  <c r="T2656" i="1"/>
  <c r="S2657" i="1"/>
  <c r="T2657" i="1"/>
  <c r="T2658" i="1"/>
  <c r="S2659" i="1"/>
  <c r="T2659" i="1"/>
  <c r="S2660" i="1"/>
  <c r="T2660" i="1"/>
  <c r="S2661" i="1"/>
  <c r="T2661" i="1"/>
  <c r="S2662" i="1"/>
  <c r="T2662" i="1"/>
  <c r="T2663" i="1"/>
  <c r="T2664" i="1"/>
  <c r="S2665" i="1"/>
  <c r="T2665" i="1"/>
  <c r="T2666" i="1"/>
  <c r="S2667" i="1"/>
  <c r="T2667" i="1"/>
  <c r="T2668" i="1"/>
  <c r="S2669" i="1"/>
  <c r="T2669" i="1"/>
  <c r="S2670" i="1"/>
  <c r="T2670" i="1"/>
  <c r="S2671" i="1"/>
  <c r="T2671" i="1"/>
  <c r="T2672" i="1"/>
  <c r="S2673" i="1"/>
  <c r="T2673" i="1"/>
  <c r="S2674" i="1"/>
  <c r="T2674" i="1"/>
  <c r="T2675" i="1"/>
  <c r="S2676" i="1"/>
  <c r="T2676" i="1"/>
  <c r="T2677" i="1"/>
  <c r="O2678" i="1"/>
  <c r="S2678" i="1"/>
  <c r="T2678" i="1"/>
  <c r="S2679" i="1"/>
  <c r="T2679" i="1"/>
  <c r="T2680" i="1"/>
  <c r="T2681" i="1"/>
  <c r="T2682" i="1"/>
  <c r="S2683" i="1"/>
  <c r="T2683" i="1"/>
  <c r="T2684" i="1"/>
  <c r="O2685" i="1"/>
  <c r="S2685" i="1"/>
  <c r="T2685" i="1"/>
  <c r="S2686" i="1"/>
  <c r="T2686" i="1"/>
  <c r="S2687" i="1"/>
  <c r="T2687" i="1"/>
  <c r="T2688" i="1"/>
  <c r="S2689" i="1"/>
  <c r="T2689" i="1"/>
  <c r="T2690" i="1"/>
  <c r="S2691" i="1"/>
  <c r="T2691" i="1"/>
  <c r="S2692" i="1"/>
  <c r="T2692" i="1"/>
  <c r="T2693" i="1"/>
  <c r="T2694" i="1"/>
  <c r="T2695" i="1"/>
  <c r="S2696" i="1"/>
  <c r="T2696" i="1"/>
  <c r="T2697" i="1"/>
  <c r="T2698" i="1"/>
  <c r="O2699" i="1"/>
  <c r="T2699" i="1"/>
  <c r="S2700" i="1"/>
  <c r="T2700" i="1"/>
  <c r="S2701" i="1"/>
  <c r="T2701" i="1"/>
  <c r="S2702" i="1"/>
  <c r="T2702" i="1"/>
  <c r="S2703" i="1"/>
  <c r="T2703" i="1"/>
  <c r="T2704" i="1"/>
  <c r="T2705" i="1"/>
  <c r="S2706" i="1"/>
  <c r="T2706" i="1"/>
  <c r="S2707" i="1"/>
  <c r="T2707" i="1"/>
  <c r="S2708" i="1"/>
  <c r="T2708" i="1"/>
  <c r="S2709" i="1"/>
  <c r="T2709" i="1"/>
  <c r="S2710" i="1"/>
  <c r="T2710" i="1"/>
  <c r="S2711" i="1"/>
  <c r="T2711" i="1"/>
  <c r="S2712" i="1"/>
  <c r="T2712" i="1"/>
  <c r="S2713" i="1"/>
  <c r="T2713" i="1"/>
  <c r="S2714" i="1"/>
  <c r="T2714" i="1"/>
  <c r="T2715" i="1"/>
  <c r="S2716" i="1"/>
  <c r="T2716" i="1"/>
  <c r="T2717" i="1"/>
  <c r="S2718" i="1"/>
  <c r="T2718" i="1"/>
  <c r="S2719" i="1"/>
  <c r="T2719" i="1"/>
  <c r="T2720" i="1"/>
  <c r="S2721" i="1"/>
  <c r="T2721" i="1"/>
  <c r="S2722" i="1"/>
  <c r="T2722" i="1"/>
  <c r="S2723" i="1"/>
  <c r="T2723" i="1"/>
  <c r="S2724" i="1"/>
  <c r="T2724" i="1"/>
  <c r="S2725" i="1"/>
  <c r="T2725" i="1"/>
  <c r="S2726" i="1"/>
  <c r="T2726" i="1"/>
  <c r="S2727" i="1"/>
  <c r="T2727" i="1"/>
  <c r="O2728" i="1"/>
  <c r="S2728" i="1"/>
  <c r="T2728" i="1"/>
  <c r="T2729" i="1"/>
  <c r="T2730" i="1"/>
  <c r="S2731" i="1"/>
  <c r="T2731" i="1"/>
  <c r="T2732" i="1"/>
  <c r="S2733" i="1"/>
  <c r="T2733" i="1"/>
  <c r="S2734" i="1"/>
  <c r="T2734" i="1"/>
  <c r="O2735" i="1"/>
  <c r="S2735" i="1"/>
  <c r="T2735" i="1"/>
  <c r="S2736" i="1"/>
  <c r="T2736" i="1"/>
  <c r="T2737" i="1"/>
  <c r="S2738" i="1"/>
  <c r="T2738" i="1"/>
  <c r="S2739" i="1"/>
  <c r="T2739" i="1"/>
  <c r="S2740" i="1"/>
  <c r="T2740" i="1"/>
  <c r="S2741" i="1"/>
  <c r="T2741" i="1"/>
  <c r="T2742" i="1"/>
  <c r="T2743" i="1"/>
  <c r="S2744" i="1"/>
  <c r="T2744" i="1"/>
  <c r="O2745" i="1"/>
  <c r="T2745" i="1"/>
  <c r="S2746" i="1"/>
  <c r="T2746" i="1"/>
  <c r="S2747" i="1"/>
  <c r="T2747" i="1"/>
  <c r="T2748" i="1"/>
  <c r="S2749" i="1"/>
  <c r="T2749" i="1"/>
  <c r="S2750" i="1"/>
  <c r="T2750" i="1"/>
  <c r="O2751" i="1"/>
  <c r="S2751" i="1"/>
  <c r="T2751" i="1"/>
  <c r="S2752" i="1"/>
  <c r="T2752" i="1"/>
  <c r="S2753" i="1"/>
  <c r="T2753" i="1"/>
  <c r="S2754" i="1"/>
  <c r="T2754" i="1"/>
  <c r="O2755" i="1"/>
  <c r="T2755" i="1"/>
  <c r="T2756" i="1"/>
  <c r="S2757" i="1"/>
  <c r="T2757" i="1"/>
  <c r="S2758" i="1"/>
  <c r="T2758" i="1"/>
  <c r="T2759" i="1"/>
  <c r="T2760" i="1"/>
  <c r="S2761" i="1"/>
  <c r="T2761" i="1"/>
  <c r="S2762" i="1"/>
  <c r="T2762" i="1"/>
  <c r="S2763" i="1"/>
  <c r="T2763" i="1"/>
  <c r="T2764" i="1"/>
  <c r="S2765" i="1"/>
  <c r="T2765" i="1"/>
  <c r="O2766" i="1"/>
  <c r="S2766" i="1"/>
  <c r="T2766" i="1"/>
  <c r="T2767" i="1"/>
  <c r="T2768" i="1"/>
  <c r="T2769" i="1"/>
  <c r="T2770" i="1"/>
  <c r="T2771" i="1"/>
  <c r="S2772" i="1"/>
  <c r="T2772" i="1"/>
  <c r="S2773" i="1"/>
  <c r="T2773" i="1"/>
  <c r="S2774" i="1"/>
  <c r="T2774" i="1"/>
  <c r="S2775" i="1"/>
  <c r="T2775" i="1"/>
  <c r="O2776" i="1"/>
  <c r="S2776" i="1"/>
  <c r="T2776" i="1"/>
  <c r="S2777" i="1"/>
  <c r="T2777" i="1"/>
  <c r="S2778" i="1"/>
  <c r="T2778" i="1"/>
  <c r="S2779" i="1"/>
  <c r="T2779" i="1"/>
  <c r="S2780" i="1"/>
  <c r="T2780" i="1"/>
  <c r="S2781" i="1"/>
  <c r="T2781" i="1"/>
  <c r="S2782" i="1"/>
  <c r="T2782" i="1"/>
  <c r="S2783" i="1"/>
  <c r="T2783" i="1"/>
  <c r="S2784" i="1"/>
  <c r="T2784" i="1"/>
  <c r="O2785" i="1"/>
  <c r="S2785" i="1"/>
  <c r="T2785" i="1"/>
  <c r="S2786" i="1"/>
  <c r="T2786" i="1"/>
  <c r="S2787" i="1"/>
  <c r="T2787" i="1"/>
  <c r="S2788" i="1"/>
  <c r="T2788" i="1"/>
  <c r="S2789" i="1"/>
  <c r="T2789" i="1"/>
  <c r="S2790" i="1"/>
  <c r="T2790" i="1"/>
  <c r="S2791" i="1"/>
  <c r="T2791" i="1"/>
  <c r="S2792" i="1"/>
  <c r="T2792" i="1"/>
  <c r="S2793" i="1"/>
  <c r="T2793" i="1"/>
  <c r="T2794" i="1"/>
  <c r="S2795" i="1"/>
  <c r="T2795" i="1"/>
  <c r="S2796" i="1"/>
  <c r="T2796" i="1"/>
  <c r="S2797" i="1"/>
  <c r="T2797" i="1"/>
  <c r="T2798" i="1"/>
  <c r="T2799" i="1"/>
  <c r="S2800" i="1"/>
  <c r="T2800" i="1"/>
  <c r="T2801" i="1"/>
  <c r="S2802" i="1"/>
  <c r="T2802" i="1"/>
  <c r="S2803" i="1"/>
  <c r="T2803" i="1"/>
  <c r="T2804" i="1"/>
  <c r="S2805" i="1"/>
  <c r="T2805" i="1"/>
  <c r="S2806" i="1"/>
  <c r="T2806" i="1"/>
  <c r="S2807" i="1"/>
  <c r="T2807" i="1"/>
  <c r="S2808" i="1"/>
  <c r="T2808" i="1"/>
  <c r="T2809" i="1"/>
  <c r="S2810" i="1"/>
  <c r="T2810" i="1"/>
  <c r="T2811" i="1"/>
  <c r="S2812" i="1"/>
  <c r="T2812" i="1"/>
  <c r="O2813" i="1"/>
  <c r="S2813" i="1"/>
  <c r="T2813" i="1"/>
  <c r="S2814" i="1"/>
  <c r="T2814" i="1"/>
  <c r="S2815" i="1"/>
  <c r="T2815" i="1"/>
  <c r="S2816" i="1"/>
  <c r="T2816" i="1"/>
  <c r="S2817" i="1"/>
  <c r="T2817" i="1"/>
  <c r="S2818" i="1"/>
  <c r="T2818" i="1"/>
  <c r="S2819" i="1"/>
  <c r="T2819" i="1"/>
  <c r="T2820" i="1"/>
  <c r="S2821" i="1"/>
  <c r="T2821" i="1"/>
  <c r="O2822" i="1"/>
  <c r="S2822" i="1"/>
  <c r="T2822" i="1"/>
  <c r="O2823" i="1"/>
  <c r="S2823" i="1"/>
  <c r="T2823" i="1"/>
  <c r="O2824" i="1"/>
  <c r="S2824" i="1"/>
  <c r="T2824" i="1"/>
  <c r="O2825" i="1"/>
  <c r="S2825" i="1"/>
  <c r="T2825" i="1"/>
  <c r="O2826" i="1"/>
  <c r="S2826" i="1"/>
  <c r="T2826" i="1"/>
  <c r="O2827" i="1"/>
  <c r="S2827" i="1"/>
  <c r="T2827" i="1"/>
  <c r="O2828" i="1"/>
  <c r="S2828" i="1"/>
  <c r="T2828" i="1"/>
  <c r="S2829" i="1"/>
  <c r="T2829" i="1"/>
  <c r="O2830" i="1"/>
  <c r="S2830" i="1"/>
  <c r="T2830" i="1"/>
  <c r="O2831" i="1"/>
  <c r="S2831" i="1"/>
  <c r="T2831" i="1"/>
  <c r="O2832" i="1"/>
  <c r="S2832" i="1"/>
  <c r="T2832" i="1"/>
  <c r="O2833" i="1"/>
  <c r="S2833" i="1"/>
  <c r="T2833" i="1"/>
  <c r="O2834" i="1"/>
  <c r="S2834" i="1"/>
  <c r="T2834" i="1"/>
  <c r="O2835" i="1"/>
  <c r="S2835" i="1"/>
  <c r="T2835" i="1"/>
  <c r="O2836" i="1"/>
  <c r="S2836" i="1"/>
  <c r="T2836" i="1"/>
  <c r="O2837" i="1"/>
  <c r="S2837" i="1"/>
  <c r="T2837" i="1"/>
  <c r="O2838" i="1"/>
  <c r="S2838" i="1"/>
  <c r="T2838" i="1"/>
  <c r="O2839" i="1"/>
  <c r="S2839" i="1"/>
  <c r="T2839" i="1"/>
  <c r="O2840" i="1"/>
  <c r="S2840" i="1"/>
  <c r="T2840" i="1"/>
  <c r="O2841" i="1"/>
  <c r="S2841" i="1"/>
  <c r="T2841" i="1"/>
  <c r="S2842" i="1"/>
  <c r="T2842" i="1"/>
  <c r="O2843" i="1"/>
  <c r="S2843" i="1"/>
  <c r="T2843" i="1"/>
  <c r="O2844" i="1"/>
  <c r="S2844" i="1"/>
  <c r="T2844" i="1"/>
  <c r="O2845" i="1"/>
  <c r="S2845" i="1"/>
  <c r="T2845" i="1"/>
  <c r="O2846" i="1"/>
  <c r="S2846" i="1"/>
  <c r="T2846" i="1"/>
  <c r="O2847" i="1"/>
  <c r="T2847" i="1"/>
  <c r="O2848" i="1"/>
  <c r="S2848" i="1"/>
  <c r="T2848" i="1"/>
  <c r="O2849" i="1"/>
  <c r="S2849" i="1"/>
  <c r="T2849" i="1"/>
  <c r="O2850" i="1"/>
  <c r="S2850" i="1"/>
  <c r="T2850" i="1"/>
  <c r="O2851" i="1"/>
  <c r="S2851" i="1"/>
  <c r="T2851" i="1"/>
  <c r="O2852" i="1"/>
  <c r="S2852" i="1"/>
  <c r="T2852" i="1"/>
  <c r="O2853" i="1"/>
  <c r="S2853" i="1"/>
  <c r="T2853" i="1"/>
  <c r="O2854" i="1"/>
  <c r="S2854" i="1"/>
  <c r="T2854" i="1"/>
  <c r="O2855" i="1"/>
  <c r="S2855" i="1"/>
  <c r="T2855" i="1"/>
  <c r="O2856" i="1"/>
  <c r="S2856" i="1"/>
  <c r="T2856" i="1"/>
  <c r="O2857" i="1"/>
  <c r="S2857" i="1"/>
  <c r="T2857" i="1"/>
  <c r="O2858" i="1"/>
  <c r="S2858" i="1"/>
  <c r="T2858" i="1"/>
  <c r="O2859" i="1"/>
  <c r="S2859" i="1"/>
  <c r="T2859" i="1"/>
  <c r="O2860" i="1"/>
  <c r="S2860" i="1"/>
  <c r="T2860" i="1"/>
  <c r="O2861" i="1"/>
  <c r="S2861" i="1"/>
  <c r="T2861" i="1"/>
  <c r="S2862" i="1"/>
  <c r="T2862" i="1"/>
  <c r="S2863" i="1"/>
  <c r="T2863" i="1"/>
  <c r="O2864" i="1"/>
  <c r="S2864" i="1"/>
  <c r="T2864" i="1"/>
  <c r="O2865" i="1"/>
  <c r="S2865" i="1"/>
  <c r="T2865" i="1"/>
  <c r="O2866" i="1"/>
  <c r="S2866" i="1"/>
  <c r="T2866" i="1"/>
  <c r="S2867" i="1"/>
  <c r="T2867" i="1"/>
  <c r="S2868" i="1"/>
  <c r="T2868" i="1"/>
  <c r="O2869" i="1"/>
  <c r="S2869" i="1"/>
  <c r="T2869" i="1"/>
  <c r="O2870" i="1"/>
  <c r="S2870" i="1"/>
  <c r="T2870" i="1"/>
  <c r="O2871" i="1"/>
  <c r="S2871" i="1"/>
  <c r="T2871" i="1"/>
  <c r="O2872" i="1"/>
  <c r="S2872" i="1"/>
  <c r="T2872" i="1"/>
  <c r="O2873" i="1"/>
  <c r="S2873" i="1"/>
  <c r="T2873" i="1"/>
  <c r="O2874" i="1"/>
  <c r="S2874" i="1"/>
  <c r="T2874" i="1"/>
  <c r="O2875" i="1"/>
  <c r="S2875" i="1"/>
  <c r="T2875" i="1"/>
  <c r="O2876" i="1"/>
  <c r="S2876" i="1"/>
  <c r="T2876" i="1"/>
  <c r="O2877" i="1"/>
  <c r="S2877" i="1"/>
  <c r="T2877" i="1"/>
  <c r="O2878" i="1"/>
  <c r="S2878" i="1"/>
  <c r="T2878" i="1"/>
  <c r="O2879" i="1"/>
  <c r="T2879" i="1"/>
  <c r="T2880" i="1"/>
  <c r="S2881" i="1"/>
  <c r="T2881" i="1"/>
  <c r="O2882" i="1"/>
  <c r="T2882" i="1"/>
  <c r="O2883" i="1"/>
  <c r="S2883" i="1"/>
  <c r="T2883" i="1"/>
  <c r="O2884" i="1"/>
  <c r="S2884" i="1"/>
  <c r="T2884" i="1"/>
  <c r="O2885" i="1"/>
  <c r="S2885" i="1"/>
  <c r="T2885" i="1"/>
  <c r="S2886" i="1"/>
  <c r="T2886" i="1"/>
  <c r="O2887" i="1"/>
  <c r="S2887" i="1"/>
  <c r="T2887" i="1"/>
  <c r="O2888" i="1"/>
  <c r="S2888" i="1"/>
  <c r="T2888" i="1"/>
  <c r="O2889" i="1"/>
  <c r="S2889" i="1"/>
  <c r="T2889" i="1"/>
  <c r="S2890" i="1"/>
  <c r="T2890" i="1"/>
  <c r="O2891" i="1"/>
  <c r="S2891" i="1"/>
  <c r="T2891" i="1"/>
  <c r="O2892" i="1"/>
  <c r="S2892" i="1"/>
  <c r="T2892" i="1"/>
  <c r="O2893" i="1"/>
  <c r="S2893" i="1"/>
  <c r="T2893" i="1"/>
  <c r="O2894" i="1"/>
  <c r="S2894" i="1"/>
  <c r="T2894" i="1"/>
  <c r="O2895" i="1"/>
  <c r="S2895" i="1"/>
  <c r="T2895" i="1"/>
  <c r="O2896" i="1"/>
  <c r="S2896" i="1"/>
  <c r="T2896" i="1"/>
  <c r="O2897" i="1"/>
  <c r="S2897" i="1"/>
  <c r="T2897" i="1"/>
  <c r="O2898" i="1"/>
  <c r="S2898" i="1"/>
  <c r="T2898" i="1"/>
  <c r="O2899" i="1"/>
  <c r="S2899" i="1"/>
  <c r="T2899" i="1"/>
  <c r="O2900" i="1"/>
  <c r="S2900" i="1"/>
  <c r="T2900" i="1"/>
  <c r="O2901" i="1"/>
  <c r="S2901" i="1"/>
  <c r="T2901" i="1"/>
  <c r="O2902" i="1"/>
  <c r="S2902" i="1"/>
  <c r="T2902" i="1"/>
  <c r="O2903" i="1"/>
  <c r="S2903" i="1"/>
  <c r="T2903" i="1"/>
  <c r="O2904" i="1"/>
  <c r="S2904" i="1"/>
  <c r="T2904" i="1"/>
  <c r="O2905" i="1"/>
  <c r="S2905" i="1"/>
  <c r="T2905" i="1"/>
  <c r="O2906" i="1"/>
  <c r="S2906" i="1"/>
  <c r="T2906" i="1"/>
  <c r="O2907" i="1"/>
  <c r="S2907" i="1"/>
  <c r="T2907" i="1"/>
  <c r="O2908" i="1"/>
  <c r="S2908" i="1"/>
  <c r="T2908" i="1"/>
  <c r="O2909" i="1"/>
  <c r="S2909" i="1"/>
  <c r="T2909" i="1"/>
  <c r="O2910" i="1"/>
  <c r="S2910" i="1"/>
  <c r="T2910" i="1"/>
  <c r="O2911" i="1"/>
  <c r="S2911" i="1"/>
  <c r="T2911" i="1"/>
  <c r="O2912" i="1"/>
  <c r="S2912" i="1"/>
  <c r="T2912" i="1"/>
  <c r="O2913" i="1"/>
  <c r="S2913" i="1"/>
  <c r="T2913" i="1"/>
  <c r="S2914" i="1"/>
  <c r="T2914" i="1"/>
  <c r="O2915" i="1"/>
  <c r="S2915" i="1"/>
  <c r="T2915" i="1"/>
  <c r="O2916" i="1"/>
  <c r="S2916" i="1"/>
  <c r="T2916" i="1"/>
  <c r="O2917" i="1"/>
  <c r="S2917" i="1"/>
  <c r="T2917" i="1"/>
  <c r="O2918" i="1"/>
  <c r="S2918" i="1"/>
  <c r="T2918" i="1"/>
  <c r="O2919" i="1"/>
  <c r="S2919" i="1"/>
  <c r="T2919" i="1"/>
  <c r="O2920" i="1"/>
  <c r="S2920" i="1"/>
  <c r="T2920" i="1"/>
  <c r="O2921" i="1"/>
  <c r="S2921" i="1"/>
  <c r="T2921" i="1"/>
  <c r="O2922" i="1"/>
  <c r="S2922" i="1"/>
  <c r="T2922" i="1"/>
  <c r="O2923" i="1"/>
  <c r="S2923" i="1"/>
  <c r="T2923" i="1"/>
  <c r="O2924" i="1"/>
  <c r="S2924" i="1"/>
  <c r="T2924" i="1"/>
  <c r="O2925" i="1"/>
  <c r="S2925" i="1"/>
  <c r="T2925" i="1"/>
  <c r="O2926" i="1"/>
  <c r="S2926" i="1"/>
  <c r="T2926" i="1"/>
  <c r="O2927" i="1"/>
  <c r="S2927" i="1"/>
  <c r="T2927" i="1"/>
  <c r="S2928" i="1"/>
  <c r="T2928" i="1"/>
  <c r="O2929" i="1"/>
  <c r="S2929" i="1"/>
  <c r="T2929" i="1"/>
  <c r="O2930" i="1"/>
  <c r="S2930" i="1"/>
  <c r="T2930" i="1"/>
  <c r="S2931" i="1"/>
  <c r="T2931" i="1"/>
  <c r="O2932" i="1"/>
  <c r="S2932" i="1"/>
  <c r="T2932" i="1"/>
  <c r="S2933" i="1"/>
  <c r="T2933" i="1"/>
  <c r="S2934" i="1"/>
  <c r="T2934" i="1"/>
  <c r="S2935" i="1"/>
  <c r="T2935" i="1"/>
  <c r="O2936" i="1"/>
  <c r="S2936" i="1"/>
  <c r="T2936" i="1"/>
  <c r="S2937" i="1"/>
  <c r="T2937" i="1"/>
  <c r="S2938" i="1"/>
  <c r="T2938" i="1"/>
  <c r="S2939" i="1"/>
  <c r="T2939" i="1"/>
  <c r="O2940" i="1"/>
  <c r="S2940" i="1"/>
  <c r="T2940" i="1"/>
  <c r="O2941" i="1"/>
  <c r="S2941" i="1"/>
  <c r="T2941" i="1"/>
  <c r="O2942" i="1"/>
  <c r="S2942" i="1"/>
  <c r="T2942" i="1"/>
  <c r="S2943" i="1"/>
  <c r="T2943" i="1"/>
  <c r="O2944" i="1"/>
  <c r="S2944" i="1"/>
  <c r="T2944" i="1"/>
  <c r="O2945" i="1"/>
  <c r="S2945" i="1"/>
  <c r="T2945" i="1"/>
  <c r="O2946" i="1"/>
  <c r="S2946" i="1"/>
  <c r="T2946" i="1"/>
  <c r="O2947" i="1"/>
  <c r="S2947" i="1"/>
  <c r="T2947" i="1"/>
  <c r="O2948" i="1"/>
  <c r="S2948" i="1"/>
  <c r="T2948" i="1"/>
  <c r="O2949" i="1"/>
  <c r="S2949" i="1"/>
  <c r="T2949" i="1"/>
  <c r="O2950" i="1"/>
  <c r="S2950" i="1"/>
  <c r="T2950" i="1"/>
  <c r="T2951" i="1"/>
  <c r="O2952" i="1"/>
  <c r="T2952" i="1"/>
  <c r="T2953" i="1"/>
  <c r="O2954" i="1"/>
  <c r="T2954" i="1"/>
  <c r="T2955" i="1"/>
  <c r="S2956" i="1"/>
  <c r="T2956" i="1"/>
  <c r="O2957" i="1"/>
  <c r="S2957" i="1"/>
  <c r="T2957" i="1"/>
  <c r="O2958" i="1"/>
  <c r="T2958" i="1"/>
  <c r="O2959" i="1"/>
  <c r="S2959" i="1"/>
  <c r="T2959" i="1"/>
  <c r="O2960" i="1"/>
  <c r="S2960" i="1"/>
  <c r="T2960" i="1"/>
  <c r="O2961" i="1"/>
  <c r="S2961" i="1"/>
  <c r="T2961" i="1"/>
  <c r="O2962" i="1"/>
  <c r="S2962" i="1"/>
  <c r="T2962" i="1"/>
  <c r="O2963" i="1"/>
  <c r="S2963" i="1"/>
  <c r="T2963" i="1"/>
  <c r="O2964" i="1"/>
  <c r="S2964" i="1"/>
  <c r="T2964" i="1"/>
  <c r="O2965" i="1"/>
  <c r="S2965" i="1"/>
  <c r="T2965" i="1"/>
  <c r="S2966" i="1"/>
  <c r="T2966" i="1"/>
  <c r="O2967" i="1"/>
  <c r="S2967" i="1"/>
  <c r="T2967" i="1"/>
  <c r="O2968" i="1"/>
  <c r="S2968" i="1"/>
  <c r="T2968" i="1"/>
  <c r="O2969" i="1"/>
  <c r="S2969" i="1"/>
  <c r="T2969" i="1"/>
  <c r="O2970" i="1"/>
  <c r="S2970" i="1"/>
  <c r="T2970" i="1"/>
  <c r="O2971" i="1"/>
  <c r="S2971" i="1"/>
  <c r="T2971" i="1"/>
  <c r="O2972" i="1"/>
  <c r="T2972" i="1"/>
  <c r="O2973" i="1"/>
  <c r="S2973" i="1"/>
  <c r="T2973" i="1"/>
  <c r="O2974" i="1"/>
  <c r="S2974" i="1"/>
  <c r="T2974" i="1"/>
  <c r="T2975" i="1"/>
  <c r="O2976" i="1"/>
  <c r="S2976" i="1"/>
  <c r="T2976" i="1"/>
  <c r="O2977" i="1"/>
  <c r="S2977" i="1"/>
  <c r="T2977" i="1"/>
  <c r="O2978" i="1"/>
  <c r="S2978" i="1"/>
  <c r="T2978" i="1"/>
  <c r="O2979" i="1"/>
  <c r="S2979" i="1"/>
  <c r="T2979" i="1"/>
  <c r="O2980" i="1"/>
  <c r="S2980" i="1"/>
  <c r="T2980" i="1"/>
  <c r="O2981" i="1"/>
  <c r="S2981" i="1"/>
  <c r="T2981" i="1"/>
  <c r="O2982" i="1"/>
  <c r="S2982" i="1"/>
  <c r="T2982" i="1"/>
  <c r="O2983" i="1"/>
  <c r="S2983" i="1"/>
  <c r="T2983" i="1"/>
  <c r="O2984" i="1"/>
  <c r="S2984" i="1"/>
  <c r="T2984" i="1"/>
  <c r="O2985" i="1"/>
  <c r="S2985" i="1"/>
  <c r="T2985" i="1"/>
  <c r="O2986" i="1"/>
  <c r="S2986" i="1"/>
  <c r="T2986" i="1"/>
  <c r="O2987" i="1"/>
  <c r="S2987" i="1"/>
  <c r="T2987" i="1"/>
  <c r="S2988" i="1"/>
  <c r="T2988" i="1"/>
  <c r="O2989" i="1"/>
  <c r="S2989" i="1"/>
  <c r="T2989" i="1"/>
  <c r="O2990" i="1"/>
  <c r="S2990" i="1"/>
  <c r="T2990" i="1"/>
  <c r="O2991" i="1"/>
  <c r="S2991" i="1"/>
  <c r="T2991" i="1"/>
  <c r="O2992" i="1"/>
  <c r="S2992" i="1"/>
  <c r="T2992" i="1"/>
  <c r="O2993" i="1"/>
  <c r="S2993" i="1"/>
  <c r="T2993" i="1"/>
  <c r="O2994" i="1"/>
  <c r="S2994" i="1"/>
  <c r="T2994" i="1"/>
  <c r="O2995" i="1"/>
  <c r="S2995" i="1"/>
  <c r="T2995" i="1"/>
  <c r="O2996" i="1"/>
  <c r="S2996" i="1"/>
  <c r="T2996" i="1"/>
  <c r="O2997" i="1"/>
  <c r="S2997" i="1"/>
  <c r="T2997" i="1"/>
  <c r="O2998" i="1"/>
  <c r="S2998" i="1"/>
  <c r="T2998" i="1"/>
  <c r="S2999" i="1"/>
  <c r="T2999" i="1"/>
  <c r="O3000" i="1"/>
  <c r="S3000" i="1"/>
  <c r="T3000" i="1"/>
  <c r="S3001" i="1"/>
  <c r="T3001" i="1"/>
  <c r="O3002" i="1"/>
  <c r="S3002" i="1"/>
  <c r="T3002" i="1"/>
  <c r="O3003" i="1"/>
  <c r="S3003" i="1"/>
  <c r="T3003" i="1"/>
  <c r="O3004" i="1"/>
  <c r="S3004" i="1"/>
  <c r="T3004" i="1"/>
  <c r="O3005" i="1"/>
  <c r="S3005" i="1"/>
  <c r="T3005" i="1"/>
  <c r="S3006" i="1"/>
  <c r="T3006" i="1"/>
  <c r="O3007" i="1"/>
  <c r="S3007" i="1"/>
  <c r="T3007" i="1"/>
  <c r="O3008" i="1"/>
  <c r="S3008" i="1"/>
  <c r="T3008" i="1"/>
  <c r="O3009" i="1"/>
  <c r="S3009" i="1"/>
  <c r="T3009" i="1"/>
  <c r="O3010" i="1"/>
  <c r="S3010" i="1"/>
  <c r="T3010" i="1"/>
  <c r="O3011" i="1"/>
  <c r="S3011" i="1"/>
  <c r="T3011" i="1"/>
  <c r="O3012" i="1"/>
  <c r="S3012" i="1"/>
  <c r="T3012" i="1"/>
  <c r="O3013" i="1"/>
  <c r="S3013" i="1"/>
  <c r="T3013" i="1"/>
  <c r="O3014" i="1"/>
  <c r="S3014" i="1"/>
  <c r="T3014" i="1"/>
  <c r="O3015" i="1"/>
  <c r="S3015" i="1"/>
  <c r="T3015" i="1"/>
  <c r="O3016" i="1"/>
  <c r="S3016" i="1"/>
  <c r="T3016" i="1"/>
  <c r="O3017" i="1"/>
  <c r="S3017" i="1"/>
  <c r="T3017" i="1"/>
  <c r="O3018" i="1"/>
  <c r="S3018" i="1"/>
  <c r="T3018" i="1"/>
  <c r="O3019" i="1"/>
  <c r="S3019" i="1"/>
  <c r="T3019" i="1"/>
  <c r="O3020" i="1"/>
  <c r="S3020" i="1"/>
  <c r="T3020" i="1"/>
  <c r="S3021" i="1"/>
  <c r="T3021" i="1"/>
  <c r="S3022" i="1"/>
  <c r="T3022" i="1"/>
  <c r="O3023" i="1"/>
  <c r="S3023" i="1"/>
  <c r="T3023" i="1"/>
  <c r="S3024" i="1"/>
  <c r="T3024" i="1"/>
  <c r="O3025" i="1"/>
  <c r="S3025" i="1"/>
  <c r="T3025" i="1"/>
  <c r="O3026" i="1"/>
  <c r="S3026" i="1"/>
  <c r="T3026" i="1"/>
  <c r="S3027" i="1"/>
  <c r="T3027" i="1"/>
  <c r="T3028" i="1"/>
  <c r="O3029" i="1"/>
  <c r="S3029" i="1"/>
  <c r="T3029" i="1"/>
  <c r="O3030" i="1"/>
  <c r="S3030" i="1"/>
  <c r="T3030" i="1"/>
  <c r="O3031" i="1"/>
  <c r="S3031" i="1"/>
  <c r="T3031" i="1"/>
  <c r="O3032" i="1"/>
  <c r="S3032" i="1"/>
  <c r="T3032" i="1"/>
  <c r="O3033" i="1"/>
  <c r="S3033" i="1"/>
  <c r="T3033" i="1"/>
  <c r="O3034" i="1"/>
  <c r="T3034" i="1"/>
  <c r="O3035" i="1"/>
  <c r="T3035" i="1"/>
  <c r="O3036" i="1"/>
  <c r="T3036" i="1"/>
  <c r="O3037" i="1"/>
  <c r="T3037" i="1"/>
  <c r="O3038" i="1"/>
  <c r="T3038" i="1"/>
  <c r="O3039" i="1"/>
  <c r="T3039" i="1"/>
  <c r="O3040" i="1"/>
  <c r="T3040" i="1"/>
  <c r="O3041" i="1"/>
  <c r="T3041" i="1"/>
  <c r="O3042" i="1"/>
  <c r="S3042" i="1"/>
  <c r="T3042" i="1"/>
  <c r="O3043" i="1"/>
  <c r="S3043" i="1"/>
  <c r="T3043" i="1"/>
  <c r="O3044" i="1"/>
  <c r="S3044" i="1"/>
  <c r="T3044" i="1"/>
  <c r="O3045" i="1"/>
  <c r="S3045" i="1"/>
  <c r="T3045" i="1"/>
  <c r="O3046" i="1"/>
  <c r="S3046" i="1"/>
  <c r="T3046" i="1"/>
  <c r="O3047" i="1"/>
  <c r="S3047" i="1"/>
  <c r="T3047" i="1"/>
  <c r="O3048" i="1"/>
  <c r="T3048" i="1"/>
  <c r="O3049" i="1"/>
  <c r="S3049" i="1"/>
  <c r="T3049" i="1"/>
  <c r="O3050" i="1"/>
  <c r="S3050" i="1"/>
  <c r="T3050" i="1"/>
  <c r="O3051" i="1"/>
  <c r="S3051" i="1"/>
  <c r="T3051" i="1"/>
  <c r="O3052" i="1"/>
  <c r="S3052" i="1"/>
  <c r="T3052" i="1"/>
  <c r="O3053" i="1"/>
  <c r="S3053" i="1"/>
  <c r="T3053" i="1"/>
  <c r="S3054" i="1"/>
  <c r="T3054" i="1"/>
  <c r="T3055" i="1"/>
  <c r="O3056" i="1"/>
  <c r="S3056" i="1"/>
  <c r="T3056" i="1"/>
  <c r="T3057" i="1"/>
  <c r="O3058" i="1"/>
  <c r="S3058" i="1"/>
  <c r="T3058" i="1"/>
  <c r="O3059" i="1"/>
  <c r="S3059" i="1"/>
  <c r="T3059" i="1"/>
  <c r="O3060" i="1"/>
  <c r="S3060" i="1"/>
  <c r="T3060" i="1"/>
  <c r="O3061" i="1"/>
  <c r="S3061" i="1"/>
  <c r="T3061" i="1"/>
  <c r="O3062" i="1"/>
  <c r="S3062" i="1"/>
  <c r="T3062" i="1"/>
  <c r="O3063" i="1"/>
  <c r="S3063" i="1"/>
  <c r="T3063" i="1"/>
  <c r="T3064" i="1"/>
  <c r="O3065" i="1"/>
  <c r="S3065" i="1"/>
  <c r="T3065" i="1"/>
  <c r="T3066" i="1"/>
  <c r="T3067" i="1"/>
  <c r="T3068" i="1"/>
  <c r="T3069" i="1"/>
  <c r="O3070" i="1"/>
  <c r="T3070" i="1"/>
  <c r="O3071" i="1"/>
  <c r="S3071" i="1"/>
  <c r="T3071" i="1"/>
  <c r="O3072" i="1"/>
  <c r="S3072" i="1"/>
  <c r="T3072" i="1"/>
  <c r="O3073" i="1"/>
  <c r="S3073" i="1"/>
  <c r="T3073" i="1"/>
  <c r="S3074" i="1"/>
  <c r="T3074" i="1"/>
  <c r="O3075" i="1"/>
  <c r="T3075" i="1"/>
  <c r="O3076" i="1"/>
  <c r="T3076" i="1"/>
  <c r="O3077" i="1"/>
  <c r="T3077" i="1"/>
  <c r="O3078" i="1"/>
  <c r="S3078" i="1"/>
  <c r="T3078" i="1"/>
  <c r="O3079" i="1"/>
  <c r="S3079" i="1"/>
  <c r="T3079" i="1"/>
  <c r="S3080" i="1"/>
  <c r="T3080" i="1"/>
  <c r="S3081" i="1"/>
  <c r="T3081" i="1"/>
  <c r="O3082" i="1"/>
  <c r="S3082" i="1"/>
  <c r="T3082" i="1"/>
  <c r="S3083" i="1"/>
  <c r="T3083" i="1"/>
  <c r="S3084" i="1"/>
  <c r="T3084" i="1"/>
  <c r="O3085" i="1"/>
  <c r="T3085" i="1"/>
  <c r="S3086" i="1"/>
  <c r="T3086" i="1"/>
  <c r="S3087" i="1"/>
  <c r="T3087" i="1"/>
  <c r="O3088" i="1"/>
  <c r="S3088" i="1"/>
  <c r="T3088" i="1"/>
  <c r="O3089" i="1"/>
  <c r="S3089" i="1"/>
  <c r="T3089" i="1"/>
  <c r="T3090" i="1"/>
  <c r="O3091" i="1"/>
  <c r="S3091" i="1"/>
  <c r="T3091" i="1"/>
  <c r="T3092" i="1"/>
  <c r="S3093" i="1"/>
  <c r="T3093" i="1"/>
  <c r="O3094" i="1"/>
  <c r="S3094" i="1"/>
  <c r="T3094" i="1"/>
  <c r="S3095" i="1"/>
  <c r="T3095" i="1"/>
  <c r="T3096" i="1"/>
  <c r="T3097" i="1"/>
  <c r="T3098" i="1"/>
  <c r="O3099" i="1"/>
  <c r="S3099" i="1"/>
  <c r="T3099" i="1"/>
  <c r="T3100" i="1"/>
  <c r="O3101" i="1"/>
  <c r="T3101" i="1"/>
  <c r="O3102" i="1"/>
  <c r="S3102" i="1"/>
  <c r="T3102" i="1"/>
  <c r="O3103" i="1"/>
  <c r="T3103" i="1"/>
  <c r="O3104" i="1"/>
  <c r="S3104" i="1"/>
  <c r="T3104" i="1"/>
  <c r="O3105" i="1"/>
  <c r="S3105" i="1"/>
  <c r="T3105" i="1"/>
  <c r="O3106" i="1"/>
  <c r="S3106" i="1"/>
  <c r="T3106" i="1"/>
  <c r="O3107" i="1"/>
  <c r="S3107" i="1"/>
  <c r="T3107" i="1"/>
  <c r="O3108" i="1"/>
  <c r="S3108" i="1"/>
  <c r="T3108" i="1"/>
  <c r="O3109" i="1"/>
  <c r="S3109" i="1"/>
  <c r="T3109" i="1"/>
  <c r="O3110" i="1"/>
  <c r="S3110" i="1"/>
  <c r="T3110" i="1"/>
  <c r="O3111" i="1"/>
  <c r="S3111" i="1"/>
  <c r="T3111" i="1"/>
  <c r="O3112" i="1"/>
  <c r="S3112" i="1"/>
  <c r="T3112" i="1"/>
  <c r="O3113" i="1"/>
  <c r="S3113" i="1"/>
  <c r="T3113" i="1"/>
  <c r="O3114" i="1"/>
  <c r="S3114" i="1"/>
  <c r="T3114" i="1"/>
  <c r="O3115" i="1"/>
  <c r="S3115" i="1"/>
  <c r="T3115" i="1"/>
  <c r="O3116" i="1"/>
  <c r="S3116" i="1"/>
  <c r="T3116" i="1"/>
  <c r="O3117" i="1"/>
  <c r="S3117" i="1"/>
  <c r="T3117" i="1"/>
  <c r="O3118" i="1"/>
  <c r="S3118" i="1"/>
  <c r="T3118" i="1"/>
  <c r="O3119" i="1"/>
  <c r="S3119" i="1"/>
  <c r="T3119" i="1"/>
  <c r="S3120" i="1"/>
  <c r="T3120" i="1"/>
  <c r="S3121" i="1"/>
  <c r="T3121" i="1"/>
  <c r="S3122" i="1"/>
  <c r="T3122" i="1"/>
  <c r="O3123" i="1"/>
  <c r="T3123" i="1"/>
  <c r="S3124" i="1"/>
  <c r="T3124" i="1"/>
  <c r="S3125" i="1"/>
  <c r="T3125" i="1"/>
  <c r="O3126" i="1"/>
  <c r="S3126" i="1"/>
  <c r="T3126" i="1"/>
  <c r="O3127" i="1"/>
  <c r="S3127" i="1"/>
  <c r="T3127" i="1"/>
  <c r="O3128" i="1"/>
  <c r="S3128" i="1"/>
  <c r="T3128" i="1"/>
  <c r="O3129" i="1"/>
  <c r="S3129" i="1"/>
  <c r="T3129" i="1"/>
  <c r="S3130" i="1"/>
  <c r="T3130" i="1"/>
  <c r="S3131" i="1"/>
  <c r="T3131" i="1"/>
  <c r="O3132" i="1"/>
  <c r="S3132" i="1"/>
  <c r="T3132" i="1"/>
  <c r="O3133" i="1"/>
  <c r="S3133" i="1"/>
  <c r="T3133" i="1"/>
  <c r="O3134" i="1"/>
  <c r="S3134" i="1"/>
  <c r="T3134" i="1"/>
  <c r="O3135" i="1"/>
  <c r="S3135" i="1"/>
  <c r="T3135" i="1"/>
  <c r="O3136" i="1"/>
  <c r="S3136" i="1"/>
  <c r="T3136" i="1"/>
  <c r="O3137" i="1"/>
  <c r="S3137" i="1"/>
  <c r="T3137" i="1"/>
  <c r="O3138" i="1"/>
  <c r="S3138" i="1"/>
  <c r="T3138" i="1"/>
  <c r="S3139" i="1"/>
  <c r="T3139" i="1"/>
  <c r="O3140" i="1"/>
  <c r="S3140" i="1"/>
  <c r="T3140" i="1"/>
  <c r="O3141" i="1"/>
  <c r="T3141" i="1"/>
  <c r="T3142" i="1"/>
  <c r="T3143" i="1"/>
  <c r="O3144" i="1"/>
  <c r="S3144" i="1"/>
  <c r="T3144" i="1"/>
  <c r="T3145" i="1"/>
  <c r="S3146" i="1"/>
  <c r="T3146" i="1"/>
  <c r="S3147" i="1"/>
  <c r="T3147" i="1"/>
  <c r="S3148" i="1"/>
  <c r="T3148" i="1"/>
  <c r="S3149" i="1"/>
  <c r="T3149" i="1"/>
  <c r="O3150" i="1"/>
  <c r="S3150" i="1"/>
  <c r="T3150" i="1"/>
  <c r="S3151" i="1"/>
  <c r="T3151" i="1"/>
  <c r="O3152" i="1"/>
  <c r="S3152" i="1"/>
  <c r="T3152" i="1"/>
  <c r="O3153" i="1"/>
  <c r="S3153" i="1"/>
  <c r="T3153" i="1"/>
  <c r="S3154" i="1"/>
  <c r="T3154" i="1"/>
  <c r="O3155" i="1"/>
  <c r="S3155" i="1"/>
  <c r="T3155" i="1"/>
  <c r="S3156" i="1"/>
  <c r="T3156" i="1"/>
  <c r="S3157" i="1"/>
  <c r="T3157" i="1"/>
  <c r="S3158" i="1"/>
  <c r="T3158" i="1"/>
  <c r="S3159" i="1"/>
  <c r="T3159" i="1"/>
  <c r="T3160" i="1"/>
  <c r="S3161" i="1"/>
  <c r="T3161" i="1"/>
  <c r="S3162" i="1"/>
  <c r="T3162" i="1"/>
  <c r="T3163" i="1"/>
  <c r="O3164" i="1"/>
  <c r="T3164" i="1"/>
  <c r="O3165" i="1"/>
  <c r="S3165" i="1"/>
  <c r="T3165" i="1"/>
  <c r="S3166" i="1"/>
  <c r="T3166" i="1"/>
  <c r="O3167" i="1"/>
  <c r="T3167" i="1"/>
  <c r="O3168" i="1"/>
  <c r="S3168" i="1"/>
  <c r="T3168" i="1"/>
  <c r="T3169" i="1"/>
  <c r="O3170" i="1"/>
  <c r="T3170" i="1"/>
  <c r="O3171" i="1"/>
  <c r="S3171" i="1"/>
  <c r="T3171" i="1"/>
  <c r="O3172" i="1"/>
  <c r="S3172" i="1"/>
  <c r="T3172" i="1"/>
  <c r="O3173" i="1"/>
  <c r="S3173" i="1"/>
  <c r="T3173" i="1"/>
  <c r="O3174" i="1"/>
  <c r="S3174" i="1"/>
  <c r="T3174" i="1"/>
  <c r="S3175" i="1"/>
  <c r="T3175" i="1"/>
  <c r="O3176" i="1"/>
  <c r="S3176" i="1"/>
  <c r="T3176" i="1"/>
  <c r="O3177" i="1"/>
  <c r="T3177" i="1"/>
  <c r="S3178" i="1"/>
  <c r="T3178" i="1"/>
  <c r="T3179" i="1"/>
  <c r="S3180" i="1"/>
  <c r="T3180" i="1"/>
  <c r="T3181" i="1"/>
  <c r="S3182" i="1"/>
  <c r="T3182" i="1"/>
  <c r="O3183" i="1"/>
  <c r="S3183" i="1"/>
  <c r="T3183" i="1"/>
  <c r="O3184" i="1"/>
  <c r="T3184" i="1"/>
  <c r="O3185" i="1"/>
  <c r="S3185" i="1"/>
  <c r="T3185" i="1"/>
  <c r="O3186" i="1"/>
  <c r="S3186" i="1"/>
  <c r="T3186" i="1"/>
  <c r="O3187" i="1"/>
  <c r="S3187" i="1"/>
  <c r="T3187" i="1"/>
  <c r="O3188" i="1"/>
  <c r="S3188" i="1"/>
  <c r="T3188" i="1"/>
  <c r="O3189" i="1"/>
  <c r="S3189" i="1"/>
  <c r="T3189" i="1"/>
  <c r="T3190" i="1"/>
  <c r="S3191" i="1"/>
  <c r="T3191" i="1"/>
  <c r="O3192" i="1"/>
  <c r="S3192" i="1"/>
  <c r="T3192" i="1"/>
  <c r="O3193" i="1"/>
  <c r="S3193" i="1"/>
  <c r="T3193" i="1"/>
  <c r="S3194" i="1"/>
  <c r="T3194" i="1"/>
  <c r="O3195" i="1"/>
  <c r="S3195" i="1"/>
  <c r="T3195" i="1"/>
  <c r="S3196" i="1"/>
  <c r="T3196" i="1"/>
  <c r="O3197" i="1"/>
  <c r="S3197" i="1"/>
  <c r="T3197" i="1"/>
  <c r="O3198" i="1"/>
  <c r="S3198" i="1"/>
  <c r="T3198" i="1"/>
  <c r="O3199" i="1"/>
  <c r="T3199" i="1"/>
  <c r="T3200" i="1"/>
  <c r="S3201" i="1"/>
  <c r="T3201" i="1"/>
  <c r="O3202" i="1"/>
  <c r="S3202" i="1"/>
  <c r="T3202" i="1"/>
  <c r="S3203" i="1"/>
  <c r="T3203" i="1"/>
  <c r="S3204" i="1"/>
  <c r="T3204" i="1"/>
  <c r="O3205" i="1"/>
  <c r="S3205" i="1"/>
  <c r="T3205" i="1"/>
  <c r="O3206" i="1"/>
  <c r="S3206" i="1"/>
  <c r="T3206" i="1"/>
  <c r="O3207" i="1"/>
  <c r="S3207" i="1"/>
  <c r="T3207" i="1"/>
  <c r="T3208" i="1"/>
  <c r="O3209" i="1"/>
  <c r="S3209" i="1"/>
  <c r="T3209" i="1"/>
  <c r="O3210" i="1"/>
  <c r="S3210" i="1"/>
  <c r="T3210" i="1"/>
  <c r="O3211" i="1"/>
  <c r="T3211" i="1"/>
  <c r="O3212" i="1"/>
  <c r="S3212" i="1"/>
  <c r="T3212" i="1"/>
  <c r="O3213" i="1"/>
  <c r="S3213" i="1"/>
  <c r="T3213" i="1"/>
  <c r="S3214" i="1"/>
  <c r="T3214" i="1"/>
  <c r="S3215" i="1"/>
  <c r="T3215" i="1"/>
  <c r="O3216" i="1"/>
  <c r="S3216" i="1"/>
  <c r="T3216" i="1"/>
  <c r="S3217" i="1"/>
  <c r="T3217" i="1"/>
  <c r="O3218" i="1"/>
  <c r="S3218" i="1"/>
  <c r="T3218" i="1"/>
  <c r="O3219" i="1"/>
  <c r="S3219" i="1"/>
  <c r="T3219" i="1"/>
  <c r="S3220" i="1"/>
  <c r="T3220" i="1"/>
  <c r="S3221" i="1"/>
  <c r="T3221" i="1"/>
  <c r="S3222" i="1"/>
  <c r="T3222" i="1"/>
  <c r="O3223" i="1"/>
  <c r="S3223" i="1"/>
  <c r="T3223" i="1"/>
  <c r="O3224" i="1"/>
  <c r="S3224" i="1"/>
  <c r="T3224" i="1"/>
  <c r="O3225" i="1"/>
  <c r="T3225" i="1"/>
  <c r="O3226" i="1"/>
  <c r="S3226" i="1"/>
  <c r="T3226" i="1"/>
  <c r="T3227" i="1"/>
  <c r="O3228" i="1"/>
  <c r="S3228" i="1"/>
  <c r="T3228" i="1"/>
  <c r="S3229" i="1"/>
  <c r="T3229" i="1"/>
  <c r="O3230" i="1"/>
  <c r="S3230" i="1"/>
  <c r="T3230" i="1"/>
  <c r="O3231" i="1"/>
  <c r="S3231" i="1"/>
  <c r="T3231" i="1"/>
  <c r="S3232" i="1"/>
  <c r="T3232" i="1"/>
  <c r="O3233" i="1"/>
  <c r="S3233" i="1"/>
  <c r="T3233" i="1"/>
  <c r="O3234" i="1"/>
  <c r="S3234" i="1"/>
  <c r="T3234" i="1"/>
  <c r="O3235" i="1"/>
  <c r="S3235" i="1"/>
  <c r="T3235" i="1"/>
  <c r="O3236" i="1"/>
  <c r="S3236" i="1"/>
  <c r="T3236" i="1"/>
  <c r="O3237" i="1"/>
  <c r="S3237" i="1"/>
  <c r="T3237" i="1"/>
  <c r="O3238" i="1"/>
  <c r="S3238" i="1"/>
  <c r="T3238" i="1"/>
  <c r="O3239" i="1"/>
  <c r="S3239" i="1"/>
  <c r="T3239" i="1"/>
  <c r="O3240" i="1"/>
  <c r="S3240" i="1"/>
  <c r="T3240" i="1"/>
  <c r="O3241" i="1"/>
  <c r="S3241" i="1"/>
  <c r="T3241" i="1"/>
  <c r="O3242" i="1"/>
  <c r="S3242" i="1"/>
  <c r="T3242" i="1"/>
  <c r="O3243" i="1"/>
  <c r="S3243" i="1"/>
  <c r="T3243" i="1"/>
  <c r="O3244" i="1"/>
  <c r="S3244" i="1"/>
  <c r="T3244" i="1"/>
  <c r="O3245" i="1"/>
  <c r="S3245" i="1"/>
  <c r="T3245" i="1"/>
  <c r="O3246" i="1"/>
  <c r="S3246" i="1"/>
  <c r="T3246" i="1"/>
  <c r="T3247" i="1"/>
  <c r="T3248" i="1"/>
  <c r="T3249" i="1"/>
  <c r="T3250" i="1"/>
  <c r="T3251" i="1"/>
  <c r="T3252" i="1"/>
  <c r="O3253" i="1"/>
  <c r="T3253" i="1"/>
  <c r="T3254" i="1"/>
  <c r="T3255" i="1"/>
  <c r="O3256" i="1"/>
  <c r="S3256" i="1"/>
  <c r="T3256" i="1"/>
  <c r="O3257" i="1"/>
  <c r="S3257" i="1"/>
  <c r="T3257" i="1"/>
  <c r="O3258" i="1"/>
  <c r="S3258" i="1"/>
  <c r="T3258" i="1"/>
  <c r="O3259" i="1"/>
  <c r="S3259" i="1"/>
  <c r="T3259" i="1"/>
  <c r="O3260" i="1"/>
  <c r="S3260" i="1"/>
  <c r="T3260" i="1"/>
  <c r="O3261" i="1"/>
  <c r="S3261" i="1"/>
  <c r="T3261" i="1"/>
  <c r="S3262" i="1"/>
  <c r="T3262" i="1"/>
  <c r="O3263" i="1"/>
  <c r="S3263" i="1"/>
  <c r="T3263" i="1"/>
  <c r="S3264" i="1"/>
  <c r="T3264" i="1"/>
  <c r="O3265" i="1"/>
  <c r="S3265" i="1"/>
  <c r="T3265" i="1"/>
  <c r="S3266" i="1"/>
  <c r="T3266" i="1"/>
  <c r="S3267" i="1"/>
  <c r="T3267" i="1"/>
  <c r="O3268" i="1"/>
  <c r="S3268" i="1"/>
  <c r="T3268" i="1"/>
  <c r="O3269" i="1"/>
  <c r="S3269" i="1"/>
  <c r="T3269" i="1"/>
  <c r="S3270" i="1"/>
  <c r="T3270" i="1"/>
  <c r="O3271" i="1"/>
  <c r="S3271" i="1"/>
  <c r="T3271" i="1"/>
  <c r="O3272" i="1"/>
  <c r="S3272" i="1"/>
  <c r="T3272" i="1"/>
  <c r="O3273" i="1"/>
  <c r="S3273" i="1"/>
  <c r="T3273" i="1"/>
  <c r="S3274" i="1"/>
  <c r="T3274" i="1"/>
  <c r="O3275" i="1"/>
  <c r="S3275" i="1"/>
  <c r="T3275" i="1"/>
  <c r="O3276" i="1"/>
  <c r="S3276" i="1"/>
  <c r="T3276" i="1"/>
  <c r="O3277" i="1"/>
  <c r="S3277" i="1"/>
  <c r="T3277" i="1"/>
  <c r="O3278" i="1"/>
  <c r="S3278" i="1"/>
  <c r="T3278" i="1"/>
  <c r="O3279" i="1"/>
  <c r="S3279" i="1"/>
  <c r="T3279" i="1"/>
  <c r="S3280" i="1"/>
  <c r="T3280" i="1"/>
  <c r="O3281" i="1"/>
  <c r="S3281" i="1"/>
  <c r="T3281" i="1"/>
  <c r="O3282" i="1"/>
  <c r="S3282" i="1"/>
  <c r="T3282" i="1"/>
  <c r="O3283" i="1"/>
  <c r="S3283" i="1"/>
  <c r="T3283" i="1"/>
  <c r="O3284" i="1"/>
  <c r="S3284" i="1"/>
  <c r="T3284" i="1"/>
  <c r="O3285" i="1"/>
  <c r="S3285" i="1"/>
  <c r="T3285" i="1"/>
  <c r="O3286" i="1"/>
  <c r="S3286" i="1"/>
  <c r="T3286" i="1"/>
  <c r="O3287" i="1"/>
  <c r="S3287" i="1"/>
  <c r="T3287" i="1"/>
  <c r="O3288" i="1"/>
  <c r="S3288" i="1"/>
  <c r="T3288" i="1"/>
  <c r="O3289" i="1"/>
  <c r="S3289" i="1"/>
  <c r="T3289" i="1"/>
  <c r="O3290" i="1"/>
  <c r="T3290" i="1"/>
  <c r="O3291" i="1"/>
  <c r="S3291" i="1"/>
  <c r="T3291" i="1"/>
  <c r="O3292" i="1"/>
  <c r="S3292" i="1"/>
  <c r="T3292" i="1"/>
  <c r="S3293" i="1"/>
  <c r="T3293" i="1"/>
  <c r="S3294" i="1"/>
  <c r="T3294" i="1"/>
  <c r="O3295" i="1"/>
  <c r="S3295" i="1"/>
  <c r="T3295" i="1"/>
  <c r="S3296" i="1"/>
  <c r="T3296" i="1"/>
  <c r="S3297" i="1"/>
  <c r="T3297" i="1"/>
  <c r="O3298" i="1"/>
  <c r="S3298" i="1"/>
  <c r="T3298" i="1"/>
  <c r="O3299" i="1"/>
  <c r="S3299" i="1"/>
  <c r="T3299" i="1"/>
  <c r="O3300" i="1"/>
  <c r="S3300" i="1"/>
  <c r="T3300" i="1"/>
  <c r="O3301" i="1"/>
  <c r="S3301" i="1"/>
  <c r="T3301" i="1"/>
  <c r="O3302" i="1"/>
  <c r="S3302" i="1"/>
  <c r="T3302" i="1"/>
  <c r="O3303" i="1"/>
  <c r="S3303" i="1"/>
  <c r="T3303" i="1"/>
  <c r="O3304" i="1"/>
  <c r="S3304" i="1"/>
  <c r="T3304" i="1"/>
  <c r="O3305" i="1"/>
  <c r="S3305" i="1"/>
  <c r="T3305" i="1"/>
  <c r="O3306" i="1"/>
  <c r="S3306" i="1"/>
  <c r="T3306" i="1"/>
  <c r="O3307" i="1"/>
  <c r="S3307" i="1"/>
  <c r="T3307" i="1"/>
  <c r="O3308" i="1"/>
  <c r="S3308" i="1"/>
  <c r="T3308" i="1"/>
  <c r="O3309" i="1"/>
  <c r="S3309" i="1"/>
  <c r="T3309" i="1"/>
  <c r="O3310" i="1"/>
  <c r="S3310" i="1"/>
  <c r="T3310" i="1"/>
  <c r="O3311" i="1"/>
  <c r="S3311" i="1"/>
  <c r="T3311" i="1"/>
  <c r="S3312" i="1"/>
  <c r="T3312" i="1"/>
  <c r="S3313" i="1"/>
  <c r="T3313" i="1"/>
  <c r="O3314" i="1"/>
  <c r="S3314" i="1"/>
  <c r="T3314" i="1"/>
  <c r="S3315" i="1"/>
  <c r="T3315" i="1"/>
  <c r="O3316" i="1"/>
  <c r="S3316" i="1"/>
  <c r="T3316" i="1"/>
  <c r="O3317" i="1"/>
  <c r="S3317" i="1"/>
  <c r="T3317" i="1"/>
  <c r="O3318" i="1"/>
  <c r="S3318" i="1"/>
  <c r="T3318" i="1"/>
  <c r="O3319" i="1"/>
  <c r="S3319" i="1"/>
  <c r="T3319" i="1"/>
  <c r="S3320" i="1"/>
  <c r="T3320" i="1"/>
  <c r="O3321" i="1"/>
  <c r="S3321" i="1"/>
  <c r="T3321" i="1"/>
  <c r="O3322" i="1"/>
  <c r="S3322" i="1"/>
  <c r="T3322" i="1"/>
  <c r="O3323" i="1"/>
  <c r="S3323" i="1"/>
  <c r="T3323" i="1"/>
  <c r="S3324" i="1"/>
  <c r="T3324" i="1"/>
  <c r="O3325" i="1"/>
  <c r="S3325" i="1"/>
  <c r="T3325" i="1"/>
  <c r="S3326" i="1"/>
  <c r="T3326" i="1"/>
  <c r="O3327" i="1"/>
  <c r="S3327" i="1"/>
  <c r="T3327" i="1"/>
  <c r="O3328" i="1"/>
  <c r="S3328" i="1"/>
  <c r="T3328" i="1"/>
  <c r="O3329" i="1"/>
  <c r="S3329" i="1"/>
  <c r="T3329" i="1"/>
  <c r="S3330" i="1"/>
  <c r="T3330" i="1"/>
  <c r="S3331" i="1"/>
  <c r="T3331" i="1"/>
  <c r="S3332" i="1"/>
  <c r="T3332" i="1"/>
  <c r="O3333" i="1"/>
  <c r="S3333" i="1"/>
  <c r="T3333" i="1"/>
  <c r="O3334" i="1"/>
  <c r="S3334" i="1"/>
  <c r="T3334" i="1"/>
  <c r="O3335" i="1"/>
  <c r="S3335" i="1"/>
  <c r="T3335" i="1"/>
  <c r="T3336" i="1"/>
  <c r="O3337" i="1"/>
  <c r="S3337" i="1"/>
  <c r="T3337" i="1"/>
  <c r="S3338" i="1"/>
  <c r="T3338" i="1"/>
  <c r="O3339" i="1"/>
  <c r="S3339" i="1"/>
  <c r="T3339" i="1"/>
  <c r="S3340" i="1"/>
  <c r="T3340" i="1"/>
  <c r="O3341" i="1"/>
  <c r="S3341" i="1"/>
  <c r="T3341" i="1"/>
  <c r="S3342" i="1"/>
  <c r="T3342" i="1"/>
  <c r="S3343" i="1"/>
  <c r="T3343" i="1"/>
  <c r="O3344" i="1"/>
  <c r="S3344" i="1"/>
  <c r="T3344" i="1"/>
  <c r="O3345" i="1"/>
  <c r="S3345" i="1"/>
  <c r="T3345" i="1"/>
  <c r="S3346" i="1"/>
  <c r="T3346" i="1"/>
  <c r="O3347" i="1"/>
  <c r="S3347" i="1"/>
  <c r="T3347" i="1"/>
  <c r="O3348" i="1"/>
  <c r="S3348" i="1"/>
  <c r="T3348" i="1"/>
  <c r="S3349" i="1"/>
  <c r="T3349" i="1"/>
  <c r="O3350" i="1"/>
  <c r="T3350" i="1"/>
  <c r="O3351" i="1"/>
  <c r="S3351" i="1"/>
  <c r="T3351" i="1"/>
  <c r="O3352" i="1"/>
  <c r="S3352" i="1"/>
  <c r="T3352" i="1"/>
  <c r="O3353" i="1"/>
  <c r="S3353" i="1"/>
  <c r="T3353" i="1"/>
  <c r="O3354" i="1"/>
  <c r="S3354" i="1"/>
  <c r="T3354" i="1"/>
  <c r="O3355" i="1"/>
  <c r="S3355" i="1"/>
  <c r="T3355" i="1"/>
  <c r="O3356" i="1"/>
  <c r="S3356" i="1"/>
  <c r="T3356" i="1"/>
  <c r="O3357" i="1"/>
  <c r="S3357" i="1"/>
  <c r="T3357" i="1"/>
  <c r="O3358" i="1"/>
  <c r="S3358" i="1"/>
  <c r="T3358" i="1"/>
  <c r="O3359" i="1"/>
  <c r="S3359" i="1"/>
  <c r="T3359" i="1"/>
  <c r="O3360" i="1"/>
  <c r="S3360" i="1"/>
  <c r="T3360" i="1"/>
  <c r="S3361" i="1"/>
  <c r="T3361" i="1"/>
  <c r="S3362" i="1"/>
  <c r="T3362" i="1"/>
  <c r="O3363" i="1"/>
  <c r="S3363" i="1"/>
  <c r="T3363" i="1"/>
  <c r="S3364" i="1"/>
  <c r="T3364" i="1"/>
  <c r="O3365" i="1"/>
  <c r="S3365" i="1"/>
  <c r="T3365" i="1"/>
  <c r="S3366" i="1"/>
  <c r="T3366" i="1"/>
  <c r="O3367" i="1"/>
  <c r="T3367" i="1"/>
  <c r="O3368" i="1"/>
  <c r="S3368" i="1"/>
  <c r="T3368" i="1"/>
  <c r="S3369" i="1"/>
  <c r="T3369" i="1"/>
  <c r="O3370" i="1"/>
  <c r="S3370" i="1"/>
  <c r="T3370" i="1"/>
  <c r="O3371" i="1"/>
  <c r="S3371" i="1"/>
  <c r="T3371" i="1"/>
  <c r="O3372" i="1"/>
  <c r="T3372" i="1"/>
  <c r="O3373" i="1"/>
  <c r="T3373" i="1"/>
  <c r="T3374" i="1"/>
  <c r="T3375" i="1"/>
  <c r="O3376" i="1"/>
  <c r="S3376" i="1"/>
  <c r="T3376" i="1"/>
  <c r="O3377" i="1"/>
  <c r="S3377" i="1"/>
  <c r="T3377" i="1"/>
  <c r="O3378" i="1"/>
  <c r="S3378" i="1"/>
  <c r="T3378" i="1"/>
  <c r="O3379" i="1"/>
  <c r="S3379" i="1"/>
  <c r="T3379" i="1"/>
  <c r="S3380" i="1"/>
  <c r="T3380" i="1"/>
  <c r="O3381" i="1"/>
  <c r="S3381" i="1"/>
  <c r="T3381" i="1"/>
  <c r="S3382" i="1"/>
  <c r="T3382" i="1"/>
  <c r="T3383" i="1"/>
  <c r="T3384" i="1"/>
  <c r="T3385" i="1"/>
  <c r="T3386" i="1"/>
  <c r="T3387" i="1"/>
  <c r="O3388" i="1"/>
  <c r="T3388" i="1"/>
  <c r="O3389" i="1"/>
  <c r="S3389" i="1"/>
  <c r="T3389" i="1"/>
  <c r="O3390" i="1"/>
  <c r="S3390" i="1"/>
  <c r="T3390" i="1"/>
  <c r="O3391" i="1"/>
  <c r="S3391" i="1"/>
  <c r="T3391" i="1"/>
  <c r="O3392" i="1"/>
  <c r="S3392" i="1"/>
  <c r="T3392" i="1"/>
  <c r="O3393" i="1"/>
  <c r="S3393" i="1"/>
  <c r="T3393" i="1"/>
  <c r="S3394" i="1"/>
  <c r="T3394" i="1"/>
  <c r="S3395" i="1"/>
  <c r="T3395" i="1"/>
  <c r="O3396" i="1"/>
  <c r="S3396" i="1"/>
  <c r="T3396" i="1"/>
  <c r="S3397" i="1"/>
  <c r="T3397" i="1"/>
  <c r="O3398" i="1"/>
  <c r="T3398" i="1"/>
  <c r="O3399" i="1"/>
  <c r="S3399" i="1"/>
  <c r="T3399" i="1"/>
  <c r="S3400" i="1"/>
  <c r="T3400" i="1"/>
  <c r="S3401" i="1"/>
  <c r="T3401" i="1"/>
  <c r="S3402" i="1"/>
  <c r="T3402" i="1"/>
  <c r="S3403" i="1"/>
  <c r="T3403" i="1"/>
  <c r="O3404" i="1"/>
  <c r="S3404" i="1"/>
  <c r="T3404" i="1"/>
  <c r="S3405" i="1"/>
  <c r="T3405" i="1"/>
  <c r="S3406" i="1"/>
  <c r="T3406" i="1"/>
  <c r="S3407" i="1"/>
  <c r="T3407" i="1"/>
  <c r="O3408" i="1"/>
  <c r="S3408" i="1"/>
  <c r="T3408" i="1"/>
  <c r="S3409" i="1"/>
  <c r="T3409" i="1"/>
  <c r="O3410" i="1"/>
  <c r="S3410" i="1"/>
  <c r="T3410" i="1"/>
  <c r="T3411" i="1"/>
  <c r="S3412" i="1"/>
  <c r="T3412" i="1"/>
  <c r="S3413" i="1"/>
  <c r="T3413" i="1"/>
  <c r="T3414" i="1"/>
  <c r="O3415" i="1"/>
  <c r="S3415" i="1"/>
  <c r="T3415" i="1"/>
  <c r="S3416" i="1"/>
  <c r="T3416" i="1"/>
  <c r="O3417" i="1"/>
  <c r="S3417" i="1"/>
  <c r="T3417" i="1"/>
  <c r="O3418" i="1"/>
  <c r="T3418" i="1"/>
  <c r="O3419" i="1"/>
  <c r="S3419" i="1"/>
  <c r="T3419" i="1"/>
  <c r="T3420" i="1"/>
  <c r="O3421" i="1"/>
  <c r="S3421" i="1"/>
  <c r="T3421" i="1"/>
  <c r="S3422" i="1"/>
  <c r="T3422" i="1"/>
  <c r="O3423" i="1"/>
  <c r="S3423" i="1"/>
  <c r="T3423" i="1"/>
  <c r="O3424" i="1"/>
  <c r="S3424" i="1"/>
  <c r="T3424" i="1"/>
  <c r="O3425" i="1"/>
  <c r="S3425" i="1"/>
  <c r="T3425" i="1"/>
  <c r="O3426" i="1"/>
  <c r="S3426" i="1"/>
  <c r="T3426" i="1"/>
  <c r="O3427" i="1"/>
  <c r="S3427" i="1"/>
  <c r="T3427" i="1"/>
  <c r="O3428" i="1"/>
  <c r="S3428" i="1"/>
  <c r="T3428" i="1"/>
  <c r="S3429" i="1"/>
  <c r="T3429" i="1"/>
  <c r="S3430" i="1"/>
  <c r="T3430" i="1"/>
  <c r="O3431" i="1"/>
  <c r="S3431" i="1"/>
  <c r="T3431" i="1"/>
  <c r="O3432" i="1"/>
  <c r="S3432" i="1"/>
  <c r="T3432" i="1"/>
  <c r="S3433" i="1"/>
  <c r="T3433" i="1"/>
  <c r="O3434" i="1"/>
  <c r="S3434" i="1"/>
  <c r="T3434" i="1"/>
  <c r="O3435" i="1"/>
  <c r="T3435" i="1"/>
  <c r="S3436" i="1"/>
  <c r="T3436" i="1"/>
  <c r="S3437" i="1"/>
  <c r="T3437" i="1"/>
  <c r="O3438" i="1"/>
  <c r="S3438" i="1"/>
  <c r="T3438" i="1"/>
  <c r="O3439" i="1"/>
  <c r="S3439" i="1"/>
  <c r="T3439" i="1"/>
  <c r="O3440" i="1"/>
  <c r="S3440" i="1"/>
  <c r="T3440" i="1"/>
  <c r="O3441" i="1"/>
  <c r="S3441" i="1"/>
  <c r="T3441" i="1"/>
  <c r="S3442" i="1"/>
  <c r="T3442" i="1"/>
  <c r="S3443" i="1"/>
  <c r="T3443" i="1"/>
  <c r="O3444" i="1"/>
  <c r="S3444" i="1"/>
  <c r="T3444" i="1"/>
  <c r="O3445" i="1"/>
  <c r="S3445" i="1"/>
  <c r="T3445" i="1"/>
  <c r="T3446" i="1"/>
  <c r="S3447" i="1"/>
  <c r="T3447" i="1"/>
  <c r="S3448" i="1"/>
  <c r="T3448" i="1"/>
  <c r="S3449" i="1"/>
  <c r="T3449" i="1"/>
  <c r="O3450" i="1"/>
  <c r="S3450" i="1"/>
  <c r="T3450" i="1"/>
  <c r="S3451" i="1"/>
  <c r="T3451" i="1"/>
  <c r="S3452" i="1"/>
  <c r="T3452" i="1"/>
  <c r="O3453" i="1"/>
  <c r="S3453" i="1"/>
  <c r="T3453" i="1"/>
  <c r="O3454" i="1"/>
  <c r="S3454" i="1"/>
  <c r="T3454" i="1"/>
  <c r="O3455" i="1"/>
  <c r="S3455" i="1"/>
  <c r="T3455" i="1"/>
  <c r="T3456" i="1"/>
  <c r="S3457" i="1"/>
  <c r="T3457" i="1"/>
  <c r="S3458" i="1"/>
  <c r="T3458" i="1"/>
  <c r="S3459" i="1"/>
  <c r="T3459" i="1"/>
  <c r="T3460" i="1"/>
  <c r="O3461" i="1"/>
  <c r="S3461" i="1"/>
  <c r="T3461" i="1"/>
  <c r="S3462" i="1"/>
  <c r="T3462" i="1"/>
  <c r="S3463" i="1"/>
  <c r="T3463" i="1"/>
  <c r="O3464" i="1"/>
  <c r="S3464" i="1"/>
  <c r="T3464" i="1"/>
  <c r="O3465" i="1"/>
  <c r="S3465" i="1"/>
  <c r="T3465" i="1"/>
  <c r="O3466" i="1"/>
  <c r="S3466" i="1"/>
  <c r="T3466" i="1"/>
  <c r="S3467" i="1"/>
  <c r="T3467" i="1"/>
  <c r="O3468" i="1"/>
  <c r="S3468" i="1"/>
  <c r="T3468" i="1"/>
  <c r="S3469" i="1"/>
  <c r="T3469" i="1"/>
  <c r="O3470" i="1"/>
  <c r="S3470" i="1"/>
  <c r="T3470" i="1"/>
  <c r="O3471" i="1"/>
  <c r="S3471" i="1"/>
  <c r="T3471" i="1"/>
  <c r="O3472" i="1"/>
  <c r="S3472" i="1"/>
  <c r="T3472" i="1"/>
  <c r="S3473" i="1"/>
  <c r="T3473" i="1"/>
  <c r="S3474" i="1"/>
  <c r="T3474" i="1"/>
  <c r="O3475" i="1"/>
  <c r="S3475" i="1"/>
  <c r="T3475" i="1"/>
  <c r="O3476" i="1"/>
  <c r="S3476" i="1"/>
  <c r="T3476" i="1"/>
  <c r="O3477" i="1"/>
  <c r="S3477" i="1"/>
  <c r="T3477" i="1"/>
  <c r="O3478" i="1"/>
  <c r="S3478" i="1"/>
  <c r="T3478" i="1"/>
  <c r="S3479" i="1"/>
  <c r="T3479" i="1"/>
  <c r="O3480" i="1"/>
  <c r="S3480" i="1"/>
  <c r="T3480" i="1"/>
  <c r="S3481" i="1"/>
  <c r="T3481" i="1"/>
  <c r="O3482" i="1"/>
  <c r="S3482" i="1"/>
  <c r="T3482" i="1"/>
  <c r="O3483" i="1"/>
  <c r="S3483" i="1"/>
  <c r="T3483" i="1"/>
  <c r="O3484" i="1"/>
  <c r="S3484" i="1"/>
  <c r="T3484" i="1"/>
  <c r="S3485" i="1"/>
  <c r="T3485" i="1"/>
  <c r="O3486" i="1"/>
  <c r="S3486" i="1"/>
  <c r="T3486" i="1"/>
  <c r="O3487" i="1"/>
  <c r="S3487" i="1"/>
  <c r="T3487" i="1"/>
  <c r="O3488" i="1"/>
  <c r="S3488" i="1"/>
  <c r="T3488" i="1"/>
  <c r="O3489" i="1"/>
  <c r="S3489" i="1"/>
  <c r="T3489" i="1"/>
  <c r="S3490" i="1"/>
  <c r="T3490" i="1"/>
  <c r="S3491" i="1"/>
  <c r="T3491" i="1"/>
  <c r="S3492" i="1"/>
  <c r="T3492" i="1"/>
  <c r="O3493" i="1"/>
  <c r="S3493" i="1"/>
  <c r="T3493" i="1"/>
  <c r="S3494" i="1"/>
  <c r="T3494" i="1"/>
  <c r="O3495" i="1"/>
  <c r="S3495" i="1"/>
  <c r="T3495" i="1"/>
  <c r="O3496" i="1"/>
  <c r="S3496" i="1"/>
  <c r="T3496" i="1"/>
  <c r="S3497" i="1"/>
  <c r="T3497" i="1"/>
  <c r="O3498" i="1"/>
  <c r="S3498" i="1"/>
  <c r="T3498" i="1"/>
  <c r="S3499" i="1"/>
  <c r="T3499" i="1"/>
  <c r="O3500" i="1"/>
  <c r="S3500" i="1"/>
  <c r="T3500" i="1"/>
  <c r="S3501" i="1"/>
  <c r="T3501" i="1"/>
  <c r="S3502" i="1"/>
  <c r="T3502" i="1"/>
  <c r="O3503" i="1"/>
  <c r="T3503" i="1"/>
  <c r="O3504" i="1"/>
  <c r="S3504" i="1"/>
  <c r="T3504" i="1"/>
  <c r="O3505" i="1"/>
  <c r="T3505" i="1"/>
  <c r="O3506" i="1"/>
  <c r="T3506" i="1"/>
  <c r="O3507" i="1"/>
  <c r="T3507" i="1"/>
  <c r="O3508" i="1"/>
  <c r="T3508" i="1"/>
  <c r="O3509" i="1"/>
  <c r="T3509" i="1"/>
  <c r="O3510" i="1"/>
  <c r="T3510" i="1"/>
  <c r="O3511" i="1"/>
  <c r="S3511" i="1"/>
  <c r="T3511" i="1"/>
  <c r="O3512" i="1"/>
  <c r="S3512" i="1"/>
  <c r="T3512" i="1"/>
  <c r="O3513" i="1"/>
  <c r="T3513" i="1"/>
  <c r="O3514" i="1"/>
  <c r="T3514" i="1"/>
  <c r="O3515" i="1"/>
  <c r="S3515" i="1"/>
  <c r="T3515" i="1"/>
  <c r="O3516" i="1"/>
  <c r="S3516" i="1"/>
  <c r="T3516" i="1"/>
  <c r="O3517" i="1"/>
  <c r="S3517" i="1"/>
  <c r="T3517" i="1"/>
  <c r="O3518" i="1"/>
  <c r="S3518" i="1"/>
  <c r="T3518" i="1"/>
  <c r="O3519" i="1"/>
  <c r="T3519" i="1"/>
  <c r="O3520" i="1"/>
  <c r="S3520" i="1"/>
  <c r="T3520" i="1"/>
  <c r="O3521" i="1"/>
  <c r="S3521" i="1"/>
  <c r="T3521" i="1"/>
  <c r="O3522" i="1"/>
  <c r="S3522" i="1"/>
  <c r="T3522" i="1"/>
  <c r="O3523" i="1"/>
  <c r="S3523" i="1"/>
  <c r="T3523" i="1"/>
  <c r="O3524" i="1"/>
  <c r="S3524" i="1"/>
  <c r="T3524" i="1"/>
  <c r="S3525" i="1"/>
  <c r="T3525" i="1"/>
  <c r="O3526" i="1"/>
  <c r="S3526" i="1"/>
  <c r="T3526" i="1"/>
  <c r="O3527" i="1"/>
  <c r="T3527" i="1"/>
  <c r="O3528" i="1"/>
  <c r="T3528" i="1"/>
  <c r="O3529" i="1"/>
  <c r="T3529" i="1"/>
  <c r="O3530" i="1"/>
  <c r="T3530" i="1"/>
  <c r="O3531" i="1"/>
  <c r="T3531" i="1"/>
  <c r="O3532" i="1"/>
  <c r="T3532" i="1"/>
  <c r="O3533" i="1"/>
  <c r="S3533" i="1"/>
  <c r="T3533" i="1"/>
  <c r="O3534" i="1"/>
  <c r="T3534" i="1"/>
  <c r="O3535" i="1"/>
  <c r="T3535" i="1"/>
  <c r="O3536" i="1"/>
  <c r="T3536" i="1"/>
  <c r="O3537" i="1"/>
  <c r="T3537" i="1"/>
  <c r="O3538" i="1"/>
  <c r="T3538" i="1"/>
  <c r="O3539" i="1"/>
  <c r="T3539" i="1"/>
  <c r="O3540" i="1"/>
  <c r="T3540" i="1"/>
  <c r="O3541" i="1"/>
  <c r="T3541" i="1"/>
  <c r="O3542" i="1"/>
  <c r="T3542" i="1"/>
  <c r="O3543" i="1"/>
  <c r="T3543" i="1"/>
  <c r="O3544" i="1"/>
  <c r="T3544" i="1"/>
  <c r="O3545" i="1"/>
  <c r="T3545" i="1"/>
  <c r="O3546" i="1"/>
  <c r="T3546" i="1"/>
  <c r="O3547" i="1"/>
  <c r="S3547" i="1"/>
  <c r="T3547" i="1"/>
  <c r="O3548" i="1"/>
  <c r="T3548" i="1"/>
  <c r="O3549" i="1"/>
  <c r="S3549" i="1"/>
  <c r="T3549" i="1"/>
  <c r="O3550" i="1"/>
  <c r="S3550" i="1"/>
  <c r="T3550" i="1"/>
  <c r="O3551" i="1"/>
  <c r="T3551" i="1"/>
  <c r="O3552" i="1"/>
  <c r="S3552" i="1"/>
  <c r="T3552" i="1"/>
  <c r="O3553" i="1"/>
  <c r="S3553" i="1"/>
  <c r="T3553" i="1"/>
  <c r="O3554" i="1"/>
  <c r="S3554" i="1"/>
  <c r="T3554" i="1"/>
  <c r="O3555" i="1"/>
  <c r="S3555" i="1"/>
  <c r="T3555" i="1"/>
  <c r="O3556" i="1"/>
  <c r="T3556" i="1"/>
  <c r="O3557" i="1"/>
  <c r="S3557" i="1"/>
  <c r="T3557" i="1"/>
  <c r="O3558" i="1"/>
  <c r="T3558" i="1"/>
  <c r="O3559" i="1"/>
  <c r="T3559" i="1"/>
  <c r="O3560" i="1"/>
  <c r="S3560" i="1"/>
  <c r="T3560" i="1"/>
  <c r="O3561" i="1"/>
  <c r="S3561" i="1"/>
  <c r="T3561" i="1"/>
  <c r="O3562" i="1"/>
  <c r="S3562" i="1"/>
  <c r="T3562" i="1"/>
  <c r="O3563" i="1"/>
  <c r="S3563" i="1"/>
  <c r="T3563" i="1"/>
  <c r="O3564" i="1"/>
  <c r="S3564" i="1"/>
  <c r="T3564" i="1"/>
  <c r="O3565" i="1"/>
  <c r="S3565" i="1"/>
  <c r="T3565" i="1"/>
  <c r="O3566" i="1"/>
  <c r="T3566" i="1"/>
  <c r="O3567" i="1"/>
  <c r="S3567" i="1"/>
  <c r="T3567" i="1"/>
  <c r="O3568" i="1"/>
  <c r="S3568" i="1"/>
  <c r="T3568" i="1"/>
  <c r="O3569" i="1"/>
  <c r="S3569" i="1"/>
  <c r="T3569" i="1"/>
  <c r="O3570" i="1"/>
  <c r="S3570" i="1"/>
  <c r="T3570" i="1"/>
  <c r="O3571" i="1"/>
  <c r="S3571" i="1"/>
  <c r="T3571" i="1"/>
  <c r="O3572" i="1"/>
  <c r="S3572" i="1"/>
  <c r="T3572" i="1"/>
  <c r="O3573" i="1"/>
  <c r="S3573" i="1"/>
  <c r="T3573" i="1"/>
  <c r="O3574" i="1"/>
  <c r="S3574" i="1"/>
  <c r="T3574" i="1"/>
  <c r="O3575" i="1"/>
  <c r="S3575" i="1"/>
  <c r="T3575" i="1"/>
  <c r="O3576" i="1"/>
  <c r="S3576" i="1"/>
  <c r="T3576" i="1"/>
  <c r="O3577" i="1"/>
  <c r="S3577" i="1"/>
  <c r="T3577" i="1"/>
  <c r="O3578" i="1"/>
  <c r="S3578" i="1"/>
  <c r="T3578" i="1"/>
  <c r="O3579" i="1"/>
  <c r="S3579" i="1"/>
  <c r="T3579" i="1"/>
  <c r="O3580" i="1"/>
  <c r="S3580" i="1"/>
  <c r="T3580" i="1"/>
  <c r="O3581" i="1"/>
  <c r="S3581" i="1"/>
  <c r="T3581" i="1"/>
  <c r="O3582" i="1"/>
  <c r="S3582" i="1"/>
  <c r="T3582" i="1"/>
  <c r="O3583" i="1"/>
  <c r="S3583" i="1"/>
  <c r="T3583" i="1"/>
  <c r="O3584" i="1"/>
  <c r="S3584" i="1"/>
  <c r="T3584" i="1"/>
  <c r="O3585" i="1"/>
  <c r="S3585" i="1"/>
  <c r="T3585" i="1"/>
  <c r="O3586" i="1"/>
  <c r="S3586" i="1"/>
  <c r="T3586" i="1"/>
  <c r="O3587" i="1"/>
  <c r="S3587" i="1"/>
  <c r="T3587" i="1"/>
  <c r="O3588" i="1"/>
  <c r="S3588" i="1"/>
  <c r="T3588" i="1"/>
  <c r="O3589" i="1"/>
  <c r="S3589" i="1"/>
  <c r="T3589" i="1"/>
  <c r="O3590" i="1"/>
  <c r="S3590" i="1"/>
  <c r="T3590" i="1"/>
  <c r="O3591" i="1"/>
  <c r="S3591" i="1"/>
  <c r="T3591" i="1"/>
  <c r="O3592" i="1"/>
  <c r="S3592" i="1"/>
  <c r="T3592" i="1"/>
  <c r="O3593" i="1"/>
  <c r="S3593" i="1"/>
  <c r="T3593" i="1"/>
  <c r="O3594" i="1"/>
  <c r="S3594" i="1"/>
  <c r="T3594" i="1"/>
  <c r="O3595" i="1"/>
  <c r="T3595" i="1"/>
  <c r="T3596" i="1"/>
  <c r="O3597" i="1"/>
  <c r="T3597" i="1"/>
  <c r="T3598" i="1"/>
  <c r="T3599" i="1"/>
  <c r="O3600" i="1"/>
  <c r="T3600" i="1"/>
  <c r="O3601" i="1"/>
  <c r="T3601" i="1"/>
  <c r="O3602" i="1"/>
  <c r="S3602" i="1"/>
  <c r="T3602" i="1"/>
  <c r="T3603" i="1"/>
  <c r="O3604" i="1"/>
  <c r="S3604" i="1"/>
  <c r="T3604" i="1"/>
  <c r="O3605" i="1"/>
  <c r="S3605" i="1"/>
  <c r="T3605" i="1"/>
  <c r="O3606" i="1"/>
  <c r="S3606" i="1"/>
  <c r="T3606" i="1"/>
  <c r="O3607" i="1"/>
  <c r="S3607" i="1"/>
  <c r="T3607" i="1"/>
  <c r="O3608" i="1"/>
  <c r="S3608" i="1"/>
  <c r="T3608" i="1"/>
  <c r="O3609" i="1"/>
  <c r="S3609" i="1"/>
  <c r="T3609" i="1"/>
  <c r="O3610" i="1"/>
  <c r="S3610" i="1"/>
  <c r="T3610" i="1"/>
  <c r="O3611" i="1"/>
  <c r="S3611" i="1"/>
  <c r="T3611" i="1"/>
  <c r="O3612" i="1"/>
  <c r="S3612" i="1"/>
  <c r="T3612" i="1"/>
  <c r="O3613" i="1"/>
  <c r="S3613" i="1"/>
  <c r="T3613" i="1"/>
  <c r="S3614" i="1"/>
  <c r="T3614" i="1"/>
  <c r="S3615" i="1"/>
  <c r="T3615" i="1"/>
  <c r="O3616" i="1"/>
  <c r="S3616" i="1"/>
  <c r="T3616" i="1"/>
  <c r="O3617" i="1"/>
  <c r="S3617" i="1"/>
  <c r="T3617" i="1"/>
  <c r="O3618" i="1"/>
  <c r="S3618" i="1"/>
  <c r="T3618" i="1"/>
  <c r="O3619" i="1"/>
  <c r="S3619" i="1"/>
  <c r="T3619" i="1"/>
  <c r="O3620" i="1"/>
  <c r="S3620" i="1"/>
  <c r="T3620" i="1"/>
  <c r="O3621" i="1"/>
  <c r="S3621" i="1"/>
  <c r="T3621" i="1"/>
  <c r="O3622" i="1"/>
  <c r="S3622" i="1"/>
  <c r="T3622" i="1"/>
  <c r="O3623" i="1"/>
  <c r="S3623" i="1"/>
  <c r="T3623" i="1"/>
  <c r="O3624" i="1"/>
  <c r="S3624" i="1"/>
  <c r="T3624" i="1"/>
  <c r="O3625" i="1"/>
  <c r="S3625" i="1"/>
  <c r="T3625" i="1"/>
  <c r="O3626" i="1"/>
  <c r="T3626" i="1"/>
  <c r="O3627" i="1"/>
  <c r="S3627" i="1"/>
  <c r="T3627" i="1"/>
  <c r="O3628" i="1"/>
  <c r="S3628" i="1"/>
  <c r="T3628" i="1"/>
  <c r="O3629" i="1"/>
  <c r="S3629" i="1"/>
  <c r="T3629" i="1"/>
  <c r="S3630" i="1"/>
  <c r="T3630" i="1"/>
  <c r="O3631" i="1"/>
  <c r="S3631" i="1"/>
  <c r="T3631" i="1"/>
  <c r="S3632" i="1"/>
  <c r="T3632" i="1"/>
  <c r="O3633" i="1"/>
  <c r="S3633" i="1"/>
  <c r="T3633" i="1"/>
  <c r="O3634" i="1"/>
  <c r="S3634" i="1"/>
  <c r="T3634" i="1"/>
  <c r="O3635" i="1"/>
  <c r="S3635" i="1"/>
  <c r="T3635" i="1"/>
  <c r="O3636" i="1"/>
  <c r="S3636" i="1"/>
  <c r="T3636" i="1"/>
  <c r="S3637" i="1"/>
  <c r="T3637" i="1"/>
  <c r="S3638" i="1"/>
  <c r="T3638" i="1"/>
  <c r="S3639" i="1"/>
  <c r="T3639" i="1"/>
  <c r="O3640" i="1"/>
  <c r="S3640" i="1"/>
  <c r="T3640" i="1"/>
  <c r="O3641" i="1"/>
  <c r="S3641" i="1"/>
  <c r="T3641" i="1"/>
  <c r="S3642" i="1"/>
  <c r="T3642" i="1"/>
  <c r="S3643" i="1"/>
  <c r="T3643" i="1"/>
  <c r="O3644" i="1"/>
  <c r="S3644" i="1"/>
  <c r="T3644" i="1"/>
  <c r="O3645" i="1"/>
  <c r="S3645" i="1"/>
  <c r="T3645" i="1"/>
  <c r="O3646" i="1"/>
  <c r="S3646" i="1"/>
  <c r="T3646" i="1"/>
  <c r="O3647" i="1"/>
  <c r="S3647" i="1"/>
  <c r="T3647" i="1"/>
  <c r="O3648" i="1"/>
  <c r="S3648" i="1"/>
  <c r="T3648" i="1"/>
  <c r="S3649" i="1"/>
  <c r="T3649" i="1"/>
  <c r="O3650" i="1"/>
  <c r="S3650" i="1"/>
  <c r="T3650" i="1"/>
  <c r="O3651" i="1"/>
  <c r="S3651" i="1"/>
  <c r="T3651" i="1"/>
  <c r="O3652" i="1"/>
  <c r="S3652" i="1"/>
  <c r="T3652" i="1"/>
  <c r="O3653" i="1"/>
  <c r="S3653" i="1"/>
  <c r="T3653" i="1"/>
  <c r="S3654" i="1"/>
  <c r="T3654" i="1"/>
  <c r="O3655" i="1"/>
  <c r="S3655" i="1"/>
  <c r="T3655" i="1"/>
  <c r="O3656" i="1"/>
  <c r="S3656" i="1"/>
  <c r="T3656" i="1"/>
  <c r="O3657" i="1"/>
  <c r="S3657" i="1"/>
  <c r="T3657" i="1"/>
  <c r="O3658" i="1"/>
  <c r="S3658" i="1"/>
  <c r="T3658" i="1"/>
  <c r="O3659" i="1"/>
  <c r="S3659" i="1"/>
  <c r="T3659" i="1"/>
  <c r="O3660" i="1"/>
  <c r="S3660" i="1"/>
  <c r="T3660" i="1"/>
  <c r="O3661" i="1"/>
  <c r="S3661" i="1"/>
  <c r="T3661" i="1"/>
  <c r="S3662" i="1"/>
  <c r="T3662" i="1"/>
  <c r="O3663" i="1"/>
  <c r="S3663" i="1"/>
  <c r="T3663" i="1"/>
  <c r="O3664" i="1"/>
  <c r="S3664" i="1"/>
  <c r="T3664" i="1"/>
  <c r="O3665" i="1"/>
  <c r="S3665" i="1"/>
  <c r="T3665" i="1"/>
  <c r="O3666" i="1"/>
  <c r="S3666" i="1"/>
  <c r="T3666" i="1"/>
  <c r="O3667" i="1"/>
  <c r="S3667" i="1"/>
  <c r="T3667" i="1"/>
  <c r="O3668" i="1"/>
  <c r="T3668" i="1"/>
  <c r="O3669" i="1"/>
  <c r="S3669" i="1"/>
  <c r="T3669" i="1"/>
  <c r="O3670" i="1"/>
  <c r="S3670" i="1"/>
  <c r="T3670" i="1"/>
  <c r="O3671" i="1"/>
  <c r="S3671" i="1"/>
  <c r="T3671" i="1"/>
  <c r="O3672" i="1"/>
  <c r="S3672" i="1"/>
  <c r="T3672" i="1"/>
  <c r="O3673" i="1"/>
  <c r="S3673" i="1"/>
  <c r="T3673" i="1"/>
  <c r="O3674" i="1"/>
  <c r="S3674" i="1"/>
  <c r="T3674" i="1"/>
  <c r="O3675" i="1"/>
  <c r="S3675" i="1"/>
  <c r="T3675" i="1"/>
  <c r="O3676" i="1"/>
  <c r="S3676" i="1"/>
  <c r="T3676" i="1"/>
  <c r="O3677" i="1"/>
  <c r="S3677" i="1"/>
  <c r="T3677" i="1"/>
  <c r="O3678" i="1"/>
  <c r="S3678" i="1"/>
  <c r="T3678" i="1"/>
  <c r="O3679" i="1"/>
  <c r="S3679" i="1"/>
  <c r="T3679" i="1"/>
  <c r="O3680" i="1"/>
  <c r="S3680" i="1"/>
  <c r="T3680" i="1"/>
  <c r="O3681" i="1"/>
  <c r="S3681" i="1"/>
  <c r="T3681" i="1"/>
  <c r="O3682" i="1"/>
  <c r="S3682" i="1"/>
  <c r="T3682" i="1"/>
  <c r="O3683" i="1"/>
  <c r="S3683" i="1"/>
  <c r="T3683" i="1"/>
  <c r="S3684" i="1"/>
  <c r="T3684" i="1"/>
  <c r="O3685" i="1"/>
  <c r="S3685" i="1"/>
  <c r="T3685" i="1"/>
  <c r="O3686" i="1"/>
  <c r="S3686" i="1"/>
  <c r="T3686" i="1"/>
  <c r="O3687" i="1"/>
  <c r="S3687" i="1"/>
  <c r="T3687" i="1"/>
  <c r="O3688" i="1"/>
  <c r="S3688" i="1"/>
  <c r="T3688" i="1"/>
  <c r="O3689" i="1"/>
  <c r="S3689" i="1"/>
  <c r="T3689" i="1"/>
  <c r="O3690" i="1"/>
  <c r="S3690" i="1"/>
  <c r="T3690" i="1"/>
  <c r="O3691" i="1"/>
  <c r="S3691" i="1"/>
  <c r="T3691" i="1"/>
  <c r="O3692" i="1"/>
  <c r="S3692" i="1"/>
  <c r="T3692" i="1"/>
  <c r="O3693" i="1"/>
  <c r="S3693" i="1"/>
  <c r="T3693" i="1"/>
  <c r="O3694" i="1"/>
  <c r="S3694" i="1"/>
  <c r="T3694" i="1"/>
  <c r="O3695" i="1"/>
  <c r="S3695" i="1"/>
  <c r="T3695" i="1"/>
  <c r="O3696" i="1"/>
  <c r="S3696" i="1"/>
  <c r="T3696" i="1"/>
  <c r="O3697" i="1"/>
  <c r="S3697" i="1"/>
  <c r="T3697" i="1"/>
  <c r="O3698" i="1"/>
  <c r="S3698" i="1"/>
  <c r="T3698" i="1"/>
  <c r="O3699" i="1"/>
  <c r="S3699" i="1"/>
  <c r="T3699" i="1"/>
  <c r="O3700" i="1"/>
  <c r="S3700" i="1"/>
  <c r="T3700" i="1"/>
  <c r="O3701" i="1"/>
  <c r="S3701" i="1"/>
  <c r="T3701" i="1"/>
  <c r="O3702" i="1"/>
  <c r="S3702" i="1"/>
  <c r="T3702" i="1"/>
  <c r="O3703" i="1"/>
  <c r="S3703" i="1"/>
  <c r="T3703" i="1"/>
  <c r="O3704" i="1"/>
  <c r="S3704" i="1"/>
  <c r="T3704" i="1"/>
  <c r="O3705" i="1"/>
  <c r="S3705" i="1"/>
  <c r="T3705" i="1"/>
  <c r="O3706" i="1"/>
  <c r="S3706" i="1"/>
  <c r="T3706" i="1"/>
  <c r="S3707" i="1"/>
  <c r="T3707" i="1"/>
  <c r="O3708" i="1"/>
  <c r="S3708" i="1"/>
  <c r="T3708" i="1"/>
  <c r="O3709" i="1"/>
  <c r="S3709" i="1"/>
  <c r="T3709" i="1"/>
  <c r="O3710" i="1"/>
  <c r="S3710" i="1"/>
  <c r="T3710" i="1"/>
  <c r="O3711" i="1"/>
  <c r="S3711" i="1"/>
  <c r="T3711" i="1"/>
  <c r="O3712" i="1"/>
  <c r="S3712" i="1"/>
  <c r="T3712" i="1"/>
  <c r="O3713" i="1"/>
  <c r="S3713" i="1"/>
  <c r="T3713" i="1"/>
  <c r="O3714" i="1"/>
  <c r="S3714" i="1"/>
  <c r="T3714" i="1"/>
  <c r="O3715" i="1"/>
  <c r="S3715" i="1"/>
  <c r="T3715" i="1"/>
  <c r="O3716" i="1"/>
  <c r="S3716" i="1"/>
  <c r="T3716" i="1"/>
  <c r="O3717" i="1"/>
  <c r="S3717" i="1"/>
  <c r="T3717" i="1"/>
  <c r="S3718" i="1"/>
  <c r="T3718" i="1"/>
  <c r="O3719" i="1"/>
  <c r="S3719" i="1"/>
  <c r="T3719" i="1"/>
  <c r="O3720" i="1"/>
  <c r="S3720" i="1"/>
  <c r="T3720" i="1"/>
  <c r="S3721" i="1"/>
  <c r="T3721" i="1"/>
  <c r="O3722" i="1"/>
  <c r="S3722" i="1"/>
  <c r="T3722" i="1"/>
  <c r="O3723" i="1"/>
  <c r="S3723" i="1"/>
  <c r="T3723" i="1"/>
  <c r="S3724" i="1"/>
  <c r="T3724" i="1"/>
  <c r="O3725" i="1"/>
  <c r="S3725" i="1"/>
  <c r="T3725" i="1"/>
  <c r="O3726" i="1"/>
  <c r="S3726" i="1"/>
  <c r="T3726" i="1"/>
  <c r="S3727" i="1"/>
  <c r="T3727" i="1"/>
  <c r="O3728" i="1"/>
  <c r="S3728" i="1"/>
  <c r="T3728" i="1"/>
  <c r="O3729" i="1"/>
  <c r="S3729" i="1"/>
  <c r="T3729" i="1"/>
  <c r="O3730" i="1"/>
  <c r="S3730" i="1"/>
  <c r="T3730" i="1"/>
  <c r="O3731" i="1"/>
  <c r="S3731" i="1"/>
  <c r="T3731" i="1"/>
  <c r="O3732" i="1"/>
  <c r="S3732" i="1"/>
  <c r="T3732" i="1"/>
  <c r="O3733" i="1"/>
  <c r="S3733" i="1"/>
  <c r="T3733" i="1"/>
  <c r="O3734" i="1"/>
  <c r="S3734" i="1"/>
  <c r="T3734" i="1"/>
  <c r="O3735" i="1"/>
  <c r="S3735" i="1"/>
  <c r="T3735" i="1"/>
  <c r="O3736" i="1"/>
  <c r="S3736" i="1"/>
  <c r="T3736" i="1"/>
  <c r="O3737" i="1"/>
  <c r="T3737" i="1"/>
  <c r="O3738" i="1"/>
  <c r="S3738" i="1"/>
  <c r="T3738" i="1"/>
  <c r="O3739" i="1"/>
  <c r="S3739" i="1"/>
  <c r="T3739" i="1"/>
  <c r="O3740" i="1"/>
  <c r="S3740" i="1"/>
  <c r="T3740" i="1"/>
  <c r="O3741" i="1"/>
  <c r="S3741" i="1"/>
  <c r="T3741" i="1"/>
  <c r="S3742" i="1"/>
  <c r="T3742" i="1"/>
  <c r="O3743" i="1"/>
  <c r="S3743" i="1"/>
  <c r="T3743" i="1"/>
  <c r="O3744" i="1"/>
  <c r="S3744" i="1"/>
  <c r="T3744" i="1"/>
  <c r="O3745" i="1"/>
  <c r="S3745" i="1"/>
  <c r="T3745" i="1"/>
  <c r="O3746" i="1"/>
  <c r="S3746" i="1"/>
  <c r="T3746" i="1"/>
  <c r="O3747" i="1"/>
  <c r="S3747" i="1"/>
  <c r="T3747" i="1"/>
  <c r="O3748" i="1"/>
  <c r="S3748" i="1"/>
  <c r="T3748" i="1"/>
  <c r="O3749" i="1"/>
  <c r="S3749" i="1"/>
  <c r="T3749" i="1"/>
  <c r="O3750" i="1"/>
  <c r="S3750" i="1"/>
  <c r="T3750" i="1"/>
  <c r="O3751" i="1"/>
  <c r="S3751" i="1"/>
  <c r="T3751" i="1"/>
  <c r="O3752" i="1"/>
  <c r="S3752" i="1"/>
  <c r="T3752" i="1"/>
  <c r="O3753" i="1"/>
  <c r="S3753" i="1"/>
  <c r="T3753" i="1"/>
  <c r="O3754" i="1"/>
  <c r="S3754" i="1"/>
  <c r="T3754" i="1"/>
  <c r="O3755" i="1"/>
  <c r="S3755" i="1"/>
  <c r="T3755" i="1"/>
  <c r="O3756" i="1"/>
  <c r="S3756" i="1"/>
  <c r="T3756" i="1"/>
  <c r="O3757" i="1"/>
  <c r="S3757" i="1"/>
  <c r="T3757" i="1"/>
  <c r="S3758" i="1"/>
  <c r="T3758" i="1"/>
  <c r="O3759" i="1"/>
  <c r="S3759" i="1"/>
  <c r="T3759" i="1"/>
  <c r="O3760" i="1"/>
  <c r="S3760" i="1"/>
  <c r="T3760" i="1"/>
  <c r="O3761" i="1"/>
  <c r="S3761" i="1"/>
  <c r="T3761" i="1"/>
  <c r="S3762" i="1"/>
  <c r="T3762" i="1"/>
  <c r="O3763" i="1"/>
  <c r="S3763" i="1"/>
  <c r="T3763" i="1"/>
  <c r="O3764" i="1"/>
  <c r="S3764" i="1"/>
  <c r="T3764" i="1"/>
  <c r="O3765" i="1"/>
  <c r="S3765" i="1"/>
  <c r="T3765" i="1"/>
  <c r="O3766" i="1"/>
  <c r="S3766" i="1"/>
  <c r="T3766" i="1"/>
  <c r="O3767" i="1"/>
  <c r="S3767" i="1"/>
  <c r="T3767" i="1"/>
  <c r="O3768" i="1"/>
  <c r="S3768" i="1"/>
  <c r="T3768" i="1"/>
  <c r="O3769" i="1"/>
  <c r="S3769" i="1"/>
  <c r="T3769" i="1"/>
  <c r="O3770" i="1"/>
  <c r="S3770" i="1"/>
  <c r="T3770" i="1"/>
  <c r="O3771" i="1"/>
  <c r="S3771" i="1"/>
  <c r="T3771" i="1"/>
  <c r="O3772" i="1"/>
  <c r="S3772" i="1"/>
  <c r="T3772" i="1"/>
  <c r="O3773" i="1"/>
  <c r="S3773" i="1"/>
  <c r="T3773" i="1"/>
  <c r="O3774" i="1"/>
  <c r="S3774" i="1"/>
  <c r="T3774" i="1"/>
  <c r="O3775" i="1"/>
  <c r="S3775" i="1"/>
  <c r="T3775" i="1"/>
  <c r="O3776" i="1"/>
  <c r="T3776" i="1"/>
  <c r="O3777" i="1"/>
  <c r="S3777" i="1"/>
  <c r="T3777" i="1"/>
  <c r="S3778" i="1"/>
  <c r="T3778" i="1"/>
  <c r="O3779" i="1"/>
  <c r="S3779" i="1"/>
  <c r="T3779" i="1"/>
  <c r="O3780" i="1"/>
  <c r="S3780" i="1"/>
  <c r="T3780" i="1"/>
  <c r="O3781" i="1"/>
  <c r="S3781" i="1"/>
  <c r="T3781" i="1"/>
  <c r="O3782" i="1"/>
  <c r="S3782" i="1"/>
  <c r="T3782" i="1"/>
  <c r="O3783" i="1"/>
  <c r="S3783" i="1"/>
  <c r="T3783" i="1"/>
  <c r="O3784" i="1"/>
  <c r="S3784" i="1"/>
  <c r="T3784" i="1"/>
  <c r="O3785" i="1"/>
  <c r="S3785" i="1"/>
  <c r="T3785" i="1"/>
  <c r="O3786" i="1"/>
  <c r="S3786" i="1"/>
  <c r="T3786" i="1"/>
  <c r="O3787" i="1"/>
  <c r="S3787" i="1"/>
  <c r="T3787" i="1"/>
  <c r="O3788" i="1"/>
  <c r="S3788" i="1"/>
  <c r="T3788" i="1"/>
  <c r="O3789" i="1"/>
  <c r="S3789" i="1"/>
  <c r="T3789" i="1"/>
  <c r="O3790" i="1"/>
  <c r="S3790" i="1"/>
  <c r="T3790" i="1"/>
  <c r="O3791" i="1"/>
  <c r="S3791" i="1"/>
  <c r="T3791" i="1"/>
  <c r="O3792" i="1"/>
  <c r="S3792" i="1"/>
  <c r="T3792" i="1"/>
  <c r="O3793" i="1"/>
  <c r="S3793" i="1"/>
  <c r="T3793" i="1"/>
  <c r="O3794" i="1"/>
  <c r="S3794" i="1"/>
  <c r="T3794" i="1"/>
  <c r="O3795" i="1"/>
  <c r="S3795" i="1"/>
  <c r="T3795" i="1"/>
  <c r="O3796" i="1"/>
  <c r="S3796" i="1"/>
  <c r="T3796" i="1"/>
  <c r="O3797" i="1"/>
  <c r="S3797" i="1"/>
  <c r="T3797" i="1"/>
  <c r="O3798" i="1"/>
  <c r="S3798" i="1"/>
  <c r="T3798" i="1"/>
  <c r="O3799" i="1"/>
  <c r="S3799" i="1"/>
  <c r="T3799" i="1"/>
  <c r="O3800" i="1"/>
  <c r="S3800" i="1"/>
  <c r="T3800" i="1"/>
  <c r="O3801" i="1"/>
  <c r="S3801" i="1"/>
  <c r="T3801" i="1"/>
  <c r="O3802" i="1"/>
  <c r="S3802" i="1"/>
  <c r="T3802" i="1"/>
  <c r="O3803" i="1"/>
  <c r="S3803" i="1"/>
  <c r="T3803" i="1"/>
  <c r="O3804" i="1"/>
  <c r="T3804" i="1"/>
  <c r="O3805" i="1"/>
  <c r="S3805" i="1"/>
  <c r="T3805" i="1"/>
  <c r="O3806" i="1"/>
  <c r="S3806" i="1"/>
  <c r="T3806" i="1"/>
  <c r="O3807" i="1"/>
  <c r="S3807" i="1"/>
  <c r="T3807" i="1"/>
  <c r="O3808" i="1"/>
  <c r="S3808" i="1"/>
  <c r="T3808" i="1"/>
  <c r="O3809" i="1"/>
  <c r="S3809" i="1"/>
  <c r="T3809" i="1"/>
  <c r="O3810" i="1"/>
  <c r="S3810" i="1"/>
  <c r="T3810" i="1"/>
  <c r="O3811" i="1"/>
  <c r="S3811" i="1"/>
  <c r="T3811" i="1"/>
  <c r="O3812" i="1"/>
  <c r="S3812" i="1"/>
  <c r="T3812" i="1"/>
  <c r="O3813" i="1"/>
  <c r="S3813" i="1"/>
  <c r="T3813" i="1"/>
  <c r="O3814" i="1"/>
  <c r="S3814" i="1"/>
  <c r="T3814" i="1"/>
  <c r="O3815" i="1"/>
  <c r="S3815" i="1"/>
  <c r="T3815" i="1"/>
  <c r="O3816" i="1"/>
  <c r="S3816" i="1"/>
  <c r="T3816" i="1"/>
  <c r="O3817" i="1"/>
  <c r="S3817" i="1"/>
  <c r="T3817" i="1"/>
  <c r="O3818" i="1"/>
  <c r="S3818" i="1"/>
  <c r="T3818" i="1"/>
  <c r="O3819" i="1"/>
  <c r="S3819" i="1"/>
  <c r="T3819" i="1"/>
  <c r="O3820" i="1"/>
  <c r="S3820" i="1"/>
  <c r="T3820" i="1"/>
  <c r="O3821" i="1"/>
  <c r="T3821" i="1"/>
  <c r="O3822" i="1"/>
  <c r="S3822" i="1"/>
  <c r="T3822" i="1"/>
  <c r="O3823" i="1"/>
  <c r="S3823" i="1"/>
  <c r="T3823" i="1"/>
  <c r="O3824" i="1"/>
  <c r="S3824" i="1"/>
  <c r="T3824" i="1"/>
  <c r="O3825" i="1"/>
  <c r="S3825" i="1"/>
  <c r="T3825" i="1"/>
  <c r="O3826" i="1"/>
  <c r="S3826" i="1"/>
  <c r="T3826" i="1"/>
  <c r="O3827" i="1"/>
  <c r="S3827" i="1"/>
  <c r="T3827" i="1"/>
  <c r="O3828" i="1"/>
  <c r="S3828" i="1"/>
  <c r="T3828" i="1"/>
  <c r="S3829" i="1"/>
  <c r="T3829" i="1"/>
  <c r="O3830" i="1"/>
  <c r="S3830" i="1"/>
  <c r="T3830" i="1"/>
  <c r="O3831" i="1"/>
  <c r="S3831" i="1"/>
  <c r="T3831" i="1"/>
  <c r="O3832" i="1"/>
  <c r="S3832" i="1"/>
  <c r="T3832" i="1"/>
  <c r="O3833" i="1"/>
  <c r="S3833" i="1"/>
  <c r="T3833" i="1"/>
  <c r="O3834" i="1"/>
  <c r="S3834" i="1"/>
  <c r="T3834" i="1"/>
  <c r="O3835" i="1"/>
  <c r="S3835" i="1"/>
  <c r="T3835" i="1"/>
  <c r="O3836" i="1"/>
  <c r="S3836" i="1"/>
  <c r="T3836" i="1"/>
  <c r="O3837" i="1"/>
  <c r="S3837" i="1"/>
  <c r="T3837" i="1"/>
  <c r="O3838" i="1"/>
  <c r="S3838" i="1"/>
  <c r="T3838" i="1"/>
  <c r="O3839" i="1"/>
  <c r="S3839" i="1"/>
  <c r="T3839" i="1"/>
  <c r="O3840" i="1"/>
  <c r="S3840" i="1"/>
  <c r="T3840" i="1"/>
  <c r="O3841" i="1"/>
  <c r="S3841" i="1"/>
  <c r="T3841" i="1"/>
  <c r="O3842" i="1"/>
  <c r="S3842" i="1"/>
  <c r="T3842" i="1"/>
  <c r="O3843" i="1"/>
  <c r="S3843" i="1"/>
  <c r="T3843" i="1"/>
  <c r="S3844" i="1"/>
  <c r="T3844" i="1"/>
  <c r="O3845" i="1"/>
  <c r="T3845" i="1"/>
  <c r="O3846" i="1"/>
  <c r="S3846" i="1"/>
  <c r="T3846" i="1"/>
  <c r="O3847" i="1"/>
  <c r="S3847" i="1"/>
  <c r="T3847" i="1"/>
  <c r="O3848" i="1"/>
  <c r="S3848" i="1"/>
  <c r="T3848" i="1"/>
  <c r="O3849" i="1"/>
  <c r="S3849" i="1"/>
  <c r="T3849" i="1"/>
  <c r="O3850" i="1"/>
  <c r="S3850" i="1"/>
  <c r="T3850" i="1"/>
  <c r="O3851" i="1"/>
  <c r="S3851" i="1"/>
  <c r="T3851" i="1"/>
  <c r="O3852" i="1"/>
  <c r="S3852" i="1"/>
  <c r="T3852" i="1"/>
  <c r="O3853" i="1"/>
  <c r="S3853" i="1"/>
  <c r="T3853" i="1"/>
  <c r="O3854" i="1"/>
  <c r="S3854" i="1"/>
  <c r="T3854" i="1"/>
  <c r="O3855" i="1"/>
  <c r="S3855" i="1"/>
  <c r="T3855" i="1"/>
  <c r="O3856" i="1"/>
  <c r="S3856" i="1"/>
  <c r="T3856" i="1"/>
  <c r="O3857" i="1"/>
  <c r="S3857" i="1"/>
  <c r="T3857" i="1"/>
  <c r="O3858" i="1"/>
  <c r="S3858" i="1"/>
  <c r="T3858" i="1"/>
  <c r="O3859" i="1"/>
  <c r="S3859" i="1"/>
  <c r="T3859" i="1"/>
  <c r="O3860" i="1"/>
  <c r="S3860" i="1"/>
  <c r="T3860" i="1"/>
  <c r="O3861" i="1"/>
  <c r="S3861" i="1"/>
  <c r="T3861" i="1"/>
  <c r="O3862" i="1"/>
  <c r="S3862" i="1"/>
  <c r="T3862" i="1"/>
  <c r="O3863" i="1"/>
  <c r="S3863" i="1"/>
  <c r="T3863" i="1"/>
  <c r="S3864" i="1"/>
  <c r="T3864" i="1"/>
  <c r="S3865" i="1"/>
  <c r="T3865" i="1"/>
  <c r="O3866" i="1"/>
  <c r="S3866" i="1"/>
  <c r="T3866" i="1"/>
  <c r="O3867" i="1"/>
  <c r="S3867" i="1"/>
  <c r="T3867" i="1"/>
  <c r="O3868" i="1"/>
  <c r="S3868" i="1"/>
  <c r="T3868" i="1"/>
  <c r="O3869" i="1"/>
  <c r="S3869" i="1"/>
  <c r="T3869" i="1"/>
  <c r="O3870" i="1"/>
  <c r="S3870" i="1"/>
  <c r="T3870" i="1"/>
  <c r="O3871" i="1"/>
  <c r="S3871" i="1"/>
  <c r="T3871" i="1"/>
  <c r="O3872" i="1"/>
  <c r="S3872" i="1"/>
  <c r="T3872" i="1"/>
  <c r="O3873" i="1"/>
  <c r="S3873" i="1"/>
  <c r="T3873" i="1"/>
  <c r="O3874" i="1"/>
  <c r="S3874" i="1"/>
  <c r="T3874" i="1"/>
  <c r="O3875" i="1"/>
  <c r="S3875" i="1"/>
  <c r="T3875" i="1"/>
  <c r="O3876" i="1"/>
  <c r="S3876" i="1"/>
  <c r="T3876" i="1"/>
  <c r="O3877" i="1"/>
  <c r="S3877" i="1"/>
  <c r="T3877" i="1"/>
  <c r="O3878" i="1"/>
  <c r="S3878" i="1"/>
  <c r="T3878" i="1"/>
  <c r="O3879" i="1"/>
  <c r="S3879" i="1"/>
  <c r="T3879" i="1"/>
  <c r="O3880" i="1"/>
  <c r="S3880" i="1"/>
  <c r="T3880" i="1"/>
  <c r="O3881" i="1"/>
  <c r="S3881" i="1"/>
  <c r="T3881" i="1"/>
  <c r="S3882" i="1"/>
  <c r="T3882" i="1"/>
  <c r="O3883" i="1"/>
  <c r="S3883" i="1"/>
  <c r="T3883" i="1"/>
  <c r="O3884" i="1"/>
  <c r="S3884" i="1"/>
  <c r="T3884" i="1"/>
  <c r="O3885" i="1"/>
  <c r="S3885" i="1"/>
  <c r="T3885" i="1"/>
  <c r="S3886" i="1"/>
  <c r="T3886" i="1"/>
  <c r="O3887" i="1"/>
  <c r="S3887" i="1"/>
  <c r="T3887" i="1"/>
  <c r="O3888" i="1"/>
  <c r="T3888" i="1"/>
  <c r="O3889" i="1"/>
  <c r="S3889" i="1"/>
  <c r="T3889" i="1"/>
  <c r="O3890" i="1"/>
  <c r="S3890" i="1"/>
  <c r="T3890" i="1"/>
  <c r="S3891" i="1"/>
  <c r="T3891" i="1"/>
  <c r="O3892" i="1"/>
  <c r="S3892" i="1"/>
  <c r="T3892" i="1"/>
  <c r="O3893" i="1"/>
  <c r="S3893" i="1"/>
  <c r="T3893" i="1"/>
  <c r="O3894" i="1"/>
  <c r="S3894" i="1"/>
  <c r="T3894" i="1"/>
  <c r="O3895" i="1"/>
  <c r="S3895" i="1"/>
  <c r="T3895" i="1"/>
  <c r="O3896" i="1"/>
  <c r="S3896" i="1"/>
  <c r="T3896" i="1"/>
  <c r="O3897" i="1"/>
  <c r="S3897" i="1"/>
  <c r="T3897" i="1"/>
  <c r="O3898" i="1"/>
  <c r="S3898" i="1"/>
  <c r="T3898" i="1"/>
  <c r="O3899" i="1"/>
  <c r="S3899" i="1"/>
  <c r="T3899" i="1"/>
  <c r="O3900" i="1"/>
  <c r="S3900" i="1"/>
  <c r="T3900" i="1"/>
  <c r="O3901" i="1"/>
  <c r="S3901" i="1"/>
  <c r="T3901" i="1"/>
  <c r="O3902" i="1"/>
  <c r="S3902" i="1"/>
  <c r="T3902" i="1"/>
  <c r="O3903" i="1"/>
  <c r="S3903" i="1"/>
  <c r="T3903" i="1"/>
  <c r="O3904" i="1"/>
  <c r="S3904" i="1"/>
  <c r="T3904" i="1"/>
  <c r="O3905" i="1"/>
  <c r="S3905" i="1"/>
  <c r="T3905" i="1"/>
  <c r="O3906" i="1"/>
  <c r="S3906" i="1"/>
  <c r="T3906" i="1"/>
  <c r="O3907" i="1"/>
  <c r="S3907" i="1"/>
  <c r="T3907" i="1"/>
  <c r="O3908" i="1"/>
  <c r="S3908" i="1"/>
  <c r="T3908" i="1"/>
  <c r="O3909" i="1"/>
  <c r="S3909" i="1"/>
  <c r="T3909" i="1"/>
  <c r="O3910" i="1"/>
  <c r="S3910" i="1"/>
  <c r="T3910" i="1"/>
  <c r="O3911" i="1"/>
  <c r="S3911" i="1"/>
  <c r="T3911" i="1"/>
  <c r="O3912" i="1"/>
  <c r="S3912" i="1"/>
  <c r="T3912" i="1"/>
  <c r="O3913" i="1"/>
  <c r="S3913" i="1"/>
  <c r="T3913" i="1"/>
  <c r="O3914" i="1"/>
  <c r="S3914" i="1"/>
  <c r="T3914" i="1"/>
  <c r="O3915" i="1"/>
  <c r="S3915" i="1"/>
  <c r="T3915" i="1"/>
  <c r="O3916" i="1"/>
  <c r="S3916" i="1"/>
  <c r="T3916" i="1"/>
  <c r="O3917" i="1"/>
  <c r="S3917" i="1"/>
  <c r="T3917" i="1"/>
  <c r="S3918" i="1"/>
  <c r="T3918" i="1"/>
  <c r="O3919" i="1"/>
  <c r="S3919" i="1"/>
  <c r="T3919" i="1"/>
  <c r="O3920" i="1"/>
  <c r="S3920" i="1"/>
  <c r="T3920" i="1"/>
  <c r="O3921" i="1"/>
  <c r="S3921" i="1"/>
  <c r="T3921" i="1"/>
  <c r="O3922" i="1"/>
  <c r="S3922" i="1"/>
  <c r="T3922" i="1"/>
  <c r="O3923" i="1"/>
  <c r="S3923" i="1"/>
  <c r="T3923" i="1"/>
  <c r="O3924" i="1"/>
  <c r="S3924" i="1"/>
  <c r="T3924" i="1"/>
  <c r="S3925" i="1"/>
  <c r="T3925" i="1"/>
  <c r="O3926" i="1"/>
  <c r="S3926" i="1"/>
  <c r="T3926" i="1"/>
  <c r="O3927" i="1"/>
  <c r="S3927" i="1"/>
  <c r="T3927" i="1"/>
  <c r="O3928" i="1"/>
  <c r="S3928" i="1"/>
  <c r="T3928" i="1"/>
  <c r="S3929" i="1"/>
  <c r="T3929" i="1"/>
  <c r="O3930" i="1"/>
  <c r="S3930" i="1"/>
  <c r="T3930" i="1"/>
  <c r="O3931" i="1"/>
  <c r="S3931" i="1"/>
  <c r="T3931" i="1"/>
  <c r="O3932" i="1"/>
  <c r="S3932" i="1"/>
  <c r="T3932" i="1"/>
  <c r="O3933" i="1"/>
  <c r="S3933" i="1"/>
  <c r="T3933" i="1"/>
  <c r="S3934" i="1"/>
  <c r="T3934" i="1"/>
  <c r="O3935" i="1"/>
  <c r="S3935" i="1"/>
  <c r="T3935" i="1"/>
  <c r="O3936" i="1"/>
  <c r="S3936" i="1"/>
  <c r="T3936" i="1"/>
  <c r="O3937" i="1"/>
  <c r="S3937" i="1"/>
  <c r="T3937" i="1"/>
  <c r="O3938" i="1"/>
  <c r="S3938" i="1"/>
  <c r="T3938" i="1"/>
  <c r="O3939" i="1"/>
  <c r="S3939" i="1"/>
  <c r="T3939" i="1"/>
  <c r="O3940" i="1"/>
  <c r="T3940" i="1"/>
  <c r="O3941" i="1"/>
  <c r="S3941" i="1"/>
  <c r="T3941" i="1"/>
  <c r="O3942" i="1"/>
  <c r="S3942" i="1"/>
  <c r="T3942" i="1"/>
  <c r="O3943" i="1"/>
  <c r="S3943" i="1"/>
  <c r="T3943" i="1"/>
  <c r="O3944" i="1"/>
  <c r="S3944" i="1"/>
  <c r="T3944" i="1"/>
  <c r="O3945" i="1"/>
  <c r="S3945" i="1"/>
  <c r="T3945" i="1"/>
  <c r="O3946" i="1"/>
  <c r="S3946" i="1"/>
  <c r="T3946" i="1"/>
  <c r="O3947" i="1"/>
  <c r="S3947" i="1"/>
  <c r="T3947" i="1"/>
  <c r="O3948" i="1"/>
  <c r="S3948" i="1"/>
  <c r="T3948" i="1"/>
  <c r="O3949" i="1"/>
  <c r="S3949" i="1"/>
  <c r="T3949" i="1"/>
  <c r="O3950" i="1"/>
  <c r="S3950" i="1"/>
  <c r="T3950" i="1"/>
  <c r="O3951" i="1"/>
  <c r="S3951" i="1"/>
  <c r="T3951" i="1"/>
  <c r="O3952" i="1"/>
  <c r="S3952" i="1"/>
  <c r="T3952" i="1"/>
  <c r="O3953" i="1"/>
  <c r="S3953" i="1"/>
  <c r="T3953" i="1"/>
  <c r="O3954" i="1"/>
  <c r="S3954" i="1"/>
  <c r="T3954" i="1"/>
  <c r="O3955" i="1"/>
  <c r="S3955" i="1"/>
  <c r="T3955" i="1"/>
  <c r="O3956" i="1"/>
  <c r="T3956" i="1"/>
  <c r="S3957" i="1"/>
  <c r="T3957" i="1"/>
  <c r="O3958" i="1"/>
  <c r="S3958" i="1"/>
  <c r="T3958" i="1"/>
  <c r="O3959" i="1"/>
  <c r="S3959" i="1"/>
  <c r="T3959" i="1"/>
  <c r="O3960" i="1"/>
  <c r="S3960" i="1"/>
  <c r="T3960" i="1"/>
  <c r="O3961" i="1"/>
  <c r="S3961" i="1"/>
  <c r="T3961" i="1"/>
  <c r="O3962" i="1"/>
  <c r="S3962" i="1"/>
  <c r="T3962" i="1"/>
  <c r="O3963" i="1"/>
  <c r="S3963" i="1"/>
  <c r="T3963" i="1"/>
  <c r="S3964" i="1"/>
  <c r="T3964" i="1"/>
  <c r="O3965" i="1"/>
  <c r="S3965" i="1"/>
  <c r="T3965" i="1"/>
  <c r="O3966" i="1"/>
  <c r="S3966" i="1"/>
  <c r="T3966" i="1"/>
  <c r="O3967" i="1"/>
  <c r="S3967" i="1"/>
  <c r="T3967" i="1"/>
  <c r="O3968" i="1"/>
  <c r="S3968" i="1"/>
  <c r="T3968" i="1"/>
  <c r="O3969" i="1"/>
  <c r="S3969" i="1"/>
  <c r="T3969" i="1"/>
  <c r="O3970" i="1"/>
  <c r="S3970" i="1"/>
  <c r="T3970" i="1"/>
  <c r="S3971" i="1"/>
  <c r="T3971" i="1"/>
  <c r="O3972" i="1"/>
  <c r="S3972" i="1"/>
  <c r="T3972" i="1"/>
  <c r="O3973" i="1"/>
  <c r="S3973" i="1"/>
  <c r="T3973" i="1"/>
  <c r="O3974" i="1"/>
  <c r="S3974" i="1"/>
  <c r="T3974" i="1"/>
  <c r="O3975" i="1"/>
  <c r="S3975" i="1"/>
  <c r="T3975" i="1"/>
  <c r="O3976" i="1"/>
  <c r="S3976" i="1"/>
  <c r="T3976" i="1"/>
  <c r="S3977" i="1"/>
  <c r="T3977" i="1"/>
  <c r="O3978" i="1"/>
  <c r="S3978" i="1"/>
  <c r="T3978" i="1"/>
  <c r="O3979" i="1"/>
  <c r="S3979" i="1"/>
  <c r="T3979" i="1"/>
  <c r="O3980" i="1"/>
  <c r="S3980" i="1"/>
  <c r="T3980" i="1"/>
  <c r="O3981" i="1"/>
  <c r="S3981" i="1"/>
  <c r="T3981" i="1"/>
  <c r="O3982" i="1"/>
  <c r="S3982" i="1"/>
  <c r="T3982" i="1"/>
  <c r="O3983" i="1"/>
  <c r="S3983" i="1"/>
  <c r="T3983" i="1"/>
  <c r="S3984" i="1"/>
  <c r="T3984" i="1"/>
  <c r="O3985" i="1"/>
  <c r="S3985" i="1"/>
  <c r="T3985" i="1"/>
  <c r="S3986" i="1"/>
  <c r="T3986" i="1"/>
  <c r="O3987" i="1"/>
  <c r="S3987" i="1"/>
  <c r="T3987" i="1"/>
  <c r="O3988" i="1"/>
  <c r="S3988" i="1"/>
  <c r="T3988" i="1"/>
  <c r="O3989" i="1"/>
  <c r="S3989" i="1"/>
  <c r="T3989" i="1"/>
  <c r="O3990" i="1"/>
  <c r="S3990" i="1"/>
  <c r="T3990" i="1"/>
  <c r="O3991" i="1"/>
  <c r="S3991" i="1"/>
  <c r="T3991" i="1"/>
  <c r="O3992" i="1"/>
  <c r="S3992" i="1"/>
  <c r="T3992" i="1"/>
  <c r="S3993" i="1"/>
  <c r="T3993" i="1"/>
  <c r="S3994" i="1"/>
  <c r="T3994" i="1"/>
  <c r="S3995" i="1"/>
  <c r="T3995" i="1"/>
  <c r="S3996" i="1"/>
  <c r="T3996" i="1"/>
  <c r="O3997" i="1"/>
  <c r="S3997" i="1"/>
  <c r="T3997" i="1"/>
  <c r="O3998" i="1"/>
  <c r="S3998" i="1"/>
  <c r="T3998" i="1"/>
  <c r="O3999" i="1"/>
  <c r="S3999" i="1"/>
  <c r="T3999" i="1"/>
  <c r="O4000" i="1"/>
  <c r="S4000" i="1"/>
  <c r="T4000" i="1"/>
  <c r="O4001" i="1"/>
  <c r="S4001" i="1"/>
  <c r="T4001" i="1"/>
  <c r="O4002" i="1"/>
  <c r="S4002" i="1"/>
  <c r="T4002" i="1"/>
  <c r="O4003" i="1"/>
  <c r="S4003" i="1"/>
  <c r="T4003" i="1"/>
  <c r="O4004" i="1"/>
  <c r="S4004" i="1"/>
  <c r="T4004" i="1"/>
  <c r="O4005" i="1"/>
  <c r="S4005" i="1"/>
  <c r="T4005" i="1"/>
  <c r="O4006" i="1"/>
  <c r="S4006" i="1"/>
  <c r="T4006" i="1"/>
  <c r="O4007" i="1"/>
  <c r="S4007" i="1"/>
  <c r="T4007" i="1"/>
  <c r="O4008" i="1"/>
  <c r="S4008" i="1"/>
  <c r="T4008" i="1"/>
  <c r="O4009" i="1"/>
  <c r="S4009" i="1"/>
  <c r="T4009" i="1"/>
  <c r="O4010" i="1"/>
  <c r="S4010" i="1"/>
  <c r="T4010" i="1"/>
  <c r="O4011" i="1"/>
  <c r="S4011" i="1"/>
  <c r="T4011" i="1"/>
  <c r="O4012" i="1"/>
  <c r="S4012" i="1"/>
  <c r="T4012" i="1"/>
  <c r="O4013" i="1"/>
  <c r="S4013" i="1"/>
  <c r="T4013" i="1"/>
  <c r="O4014" i="1"/>
  <c r="S4014" i="1"/>
  <c r="T4014" i="1"/>
  <c r="O4015" i="1"/>
  <c r="S4015" i="1"/>
  <c r="T4015" i="1"/>
  <c r="O4016" i="1"/>
  <c r="S4016" i="1"/>
  <c r="T4016" i="1"/>
  <c r="O4017" i="1"/>
  <c r="S4017" i="1"/>
  <c r="T4017" i="1"/>
  <c r="O4018" i="1"/>
  <c r="S4018" i="1"/>
  <c r="T4018" i="1"/>
  <c r="O4019" i="1"/>
  <c r="S4019" i="1"/>
  <c r="T4019" i="1"/>
  <c r="O4020" i="1"/>
  <c r="S4020" i="1"/>
  <c r="T4020" i="1"/>
  <c r="O4021" i="1"/>
  <c r="S4021" i="1"/>
  <c r="T4021" i="1"/>
  <c r="O4022" i="1"/>
  <c r="S4022" i="1"/>
  <c r="T4022" i="1"/>
  <c r="O4023" i="1"/>
  <c r="S4023" i="1"/>
  <c r="T4023" i="1"/>
  <c r="O4024" i="1"/>
  <c r="S4024" i="1"/>
  <c r="T4024" i="1"/>
  <c r="O4025" i="1"/>
  <c r="S4025" i="1"/>
  <c r="T4025" i="1"/>
  <c r="O4026" i="1"/>
  <c r="S4026" i="1"/>
  <c r="T4026" i="1"/>
  <c r="O4027" i="1"/>
  <c r="S4027" i="1"/>
  <c r="T4027" i="1"/>
  <c r="O4028" i="1"/>
  <c r="S4028" i="1"/>
  <c r="T4028" i="1"/>
  <c r="O4029" i="1"/>
  <c r="S4029" i="1"/>
  <c r="T4029" i="1"/>
  <c r="O4030" i="1"/>
  <c r="S4030" i="1"/>
  <c r="T4030" i="1"/>
  <c r="O4031" i="1"/>
  <c r="S4031" i="1"/>
  <c r="T4031" i="1"/>
  <c r="O4032" i="1"/>
  <c r="S4032" i="1"/>
  <c r="T4032" i="1"/>
  <c r="O4033" i="1"/>
  <c r="S4033" i="1"/>
  <c r="T4033" i="1"/>
  <c r="O4034" i="1"/>
  <c r="S4034" i="1"/>
  <c r="T4034" i="1"/>
  <c r="O4035" i="1"/>
  <c r="S4035" i="1"/>
  <c r="T4035" i="1"/>
  <c r="O4036" i="1"/>
  <c r="S4036" i="1"/>
  <c r="T4036" i="1"/>
  <c r="O4037" i="1"/>
  <c r="S4037" i="1"/>
  <c r="T4037" i="1"/>
  <c r="O4038" i="1"/>
  <c r="S4038" i="1"/>
  <c r="T4038" i="1"/>
  <c r="O4039" i="1"/>
  <c r="S4039" i="1"/>
  <c r="T4039" i="1"/>
  <c r="O4040" i="1"/>
  <c r="S4040" i="1"/>
  <c r="T4040" i="1"/>
  <c r="O4041" i="1"/>
  <c r="S4041" i="1"/>
  <c r="T4041" i="1"/>
  <c r="O4042" i="1"/>
  <c r="S4042" i="1"/>
  <c r="T4042" i="1"/>
  <c r="O4043" i="1"/>
  <c r="S4043" i="1"/>
  <c r="T4043" i="1"/>
  <c r="O4044" i="1"/>
  <c r="S4044" i="1"/>
  <c r="T4044" i="1"/>
  <c r="O4045" i="1"/>
  <c r="S4045" i="1"/>
  <c r="T4045" i="1"/>
  <c r="O4046" i="1"/>
  <c r="S4046" i="1"/>
  <c r="T4046" i="1"/>
  <c r="O4047" i="1"/>
  <c r="S4047" i="1"/>
  <c r="T4047" i="1"/>
  <c r="O4048" i="1"/>
  <c r="S4048" i="1"/>
  <c r="T4048" i="1"/>
  <c r="O4049" i="1"/>
  <c r="S4049" i="1"/>
  <c r="T4049" i="1"/>
  <c r="O4050" i="1"/>
  <c r="S4050" i="1"/>
  <c r="T4050" i="1"/>
  <c r="O4051" i="1"/>
  <c r="S4051" i="1"/>
  <c r="T4051" i="1"/>
  <c r="O4052" i="1"/>
  <c r="S4052" i="1"/>
  <c r="T4052" i="1"/>
  <c r="O4053" i="1"/>
  <c r="S4053" i="1"/>
  <c r="T4053" i="1"/>
  <c r="O4054" i="1"/>
  <c r="S4054" i="1"/>
  <c r="T4054" i="1"/>
  <c r="O4055" i="1"/>
  <c r="S4055" i="1"/>
  <c r="T4055" i="1"/>
  <c r="O4056" i="1"/>
  <c r="S4056" i="1"/>
  <c r="T4056" i="1"/>
  <c r="O4057" i="1"/>
  <c r="S4057" i="1"/>
  <c r="T4057" i="1"/>
  <c r="O4058" i="1"/>
  <c r="S4058" i="1"/>
  <c r="T4058" i="1"/>
  <c r="O4059" i="1"/>
  <c r="S4059" i="1"/>
  <c r="T4059" i="1"/>
  <c r="O4060" i="1"/>
  <c r="S4060" i="1"/>
  <c r="T4060" i="1"/>
  <c r="O4061" i="1"/>
  <c r="S4061" i="1"/>
  <c r="T4061" i="1"/>
  <c r="O4062" i="1"/>
  <c r="S4062" i="1"/>
  <c r="T4062" i="1"/>
  <c r="O4063" i="1"/>
  <c r="S4063" i="1"/>
  <c r="T4063" i="1"/>
  <c r="O4064" i="1"/>
  <c r="S4064" i="1"/>
  <c r="T4064" i="1"/>
  <c r="O4065" i="1"/>
  <c r="S4065" i="1"/>
  <c r="T4065" i="1"/>
  <c r="O4066" i="1"/>
  <c r="S4066" i="1"/>
  <c r="T4066" i="1"/>
  <c r="O4067" i="1"/>
  <c r="S4067" i="1"/>
  <c r="T4067" i="1"/>
  <c r="O4068" i="1"/>
  <c r="S4068" i="1"/>
  <c r="T4068" i="1"/>
  <c r="O4069" i="1"/>
  <c r="S4069" i="1"/>
  <c r="T4069" i="1"/>
  <c r="O4070" i="1"/>
  <c r="S4070" i="1"/>
  <c r="T4070" i="1"/>
  <c r="O4071" i="1"/>
  <c r="S4071" i="1"/>
  <c r="T4071" i="1"/>
  <c r="O4072" i="1"/>
  <c r="S4072" i="1"/>
  <c r="T4072" i="1"/>
  <c r="O4073" i="1"/>
  <c r="S4073" i="1"/>
  <c r="T4073" i="1"/>
  <c r="O4074" i="1"/>
  <c r="S4074" i="1"/>
  <c r="T4074" i="1"/>
  <c r="O4075" i="1"/>
  <c r="S4075" i="1"/>
  <c r="T4075" i="1"/>
</calcChain>
</file>

<file path=xl/sharedStrings.xml><?xml version="1.0" encoding="utf-8"?>
<sst xmlns="http://schemas.openxmlformats.org/spreadsheetml/2006/main" count="34826" uniqueCount="10091">
  <si>
    <t>Book ID</t>
  </si>
  <si>
    <t>List Price</t>
  </si>
  <si>
    <t>Title</t>
  </si>
  <si>
    <t>Subtitle</t>
  </si>
  <si>
    <t>Contract Publisher</t>
  </si>
  <si>
    <t>Imprint Publisher</t>
  </si>
  <si>
    <t>Pub Year</t>
  </si>
  <si>
    <t>BISAC</t>
  </si>
  <si>
    <t>LCC</t>
  </si>
  <si>
    <t>LCSH</t>
  </si>
  <si>
    <t>Language</t>
  </si>
  <si>
    <t>Format</t>
  </si>
  <si>
    <t>Downloadable</t>
  </si>
  <si>
    <t>Author</t>
  </si>
  <si>
    <t>DDC</t>
  </si>
  <si>
    <t>Series</t>
  </si>
  <si>
    <t>Fiction</t>
  </si>
  <si>
    <t>Abridged</t>
  </si>
  <si>
    <t>ISBN</t>
  </si>
  <si>
    <t>eISBN</t>
  </si>
  <si>
    <t>FreeBook</t>
  </si>
  <si>
    <t>Edition</t>
  </si>
  <si>
    <t>DRMFree</t>
  </si>
  <si>
    <t>HarperCollins Christian Publishing</t>
  </si>
  <si>
    <t>RELIGION / Christian Living / Prayer</t>
  </si>
  <si>
    <t>eng</t>
  </si>
  <si>
    <t>EPUB,PDF</t>
  </si>
  <si>
    <t>We Believe in Christmas</t>
  </si>
  <si>
    <t>Zonderkidz</t>
  </si>
  <si>
    <t>JUVENILE FICTION / Religious / Christian / Holidays &amp; Celebrations</t>
  </si>
  <si>
    <t>EPUB</t>
  </si>
  <si>
    <t>Karen Kingsbury</t>
  </si>
  <si>
    <t>The Berenstain Bears 5-Minute Inspirational Stories</t>
  </si>
  <si>
    <t>Read-Along Classics</t>
  </si>
  <si>
    <t>JUVENILE FICTION / Religious / Christian / Early Readers</t>
  </si>
  <si>
    <t>Stan Berenstain-Jan Berenstain-Mike Berenstain</t>
  </si>
  <si>
    <t>Berenstain Bears/Living Lights: A Faith Story</t>
  </si>
  <si>
    <t>The Berenstain Bears Friendship Blessings Collection</t>
  </si>
  <si>
    <t>JUVENILE FICTION / Animals / Bears</t>
  </si>
  <si>
    <t>Jan Berenstain-Mike Berenstain</t>
  </si>
  <si>
    <t>The Berenstain Bears Discover God's Creation</t>
  </si>
  <si>
    <t>JUVENILE FICTION / Religious / Christian / Values &amp; Virtues</t>
  </si>
  <si>
    <t>David Wilkerson</t>
  </si>
  <si>
    <t>The Cross, the Switchblade, and the Man Who Believed</t>
  </si>
  <si>
    <t>Zondervan</t>
  </si>
  <si>
    <t>RELIGION / Christian Living / Calling &amp; Vocation</t>
  </si>
  <si>
    <t>Gary Wilkerson-R. S. B. Sawyer</t>
  </si>
  <si>
    <t>The Be-With Factor Student Guide</t>
  </si>
  <si>
    <t>Six Questions Students Need to Ask About Life with God</t>
  </si>
  <si>
    <t>HarperCollins Christian Publishing (3 users)</t>
  </si>
  <si>
    <t>RELIGION / Christian Ministry / Youth</t>
  </si>
  <si>
    <t>Bo Boshers-Judson Poling</t>
  </si>
  <si>
    <t>RELIGION / Christian Ministry / Counseling &amp; Recovery</t>
  </si>
  <si>
    <t>RELIGION / Biblical Studies / New Testament / Revelation</t>
  </si>
  <si>
    <t>Margaret Feinberg</t>
  </si>
  <si>
    <t>RELIGION / Biblical Studies / Bible Study Guides</t>
  </si>
  <si>
    <t>RELIGION / Christian Living / Family &amp; Relationships</t>
  </si>
  <si>
    <t>RELIGION / Biblical Studies / New Testament / Jesus, the Gospels &amp; Acts</t>
  </si>
  <si>
    <t>RELIGION / Christian Living / Spiritual Growth</t>
  </si>
  <si>
    <t>RELIGION / Devotional</t>
  </si>
  <si>
    <t>BUSINESS &amp; ECONOMICS / Leadership</t>
  </si>
  <si>
    <t>The Purpose Driven Life Selected Thoughts and Scriptures for the Graduate</t>
  </si>
  <si>
    <t>RELIGION / Christian Living / Inspirational</t>
  </si>
  <si>
    <t>Rick Warren</t>
  </si>
  <si>
    <t>The Purpose Driven Life</t>
  </si>
  <si>
    <t>Max Lucado</t>
  </si>
  <si>
    <t>FICTION / Christian / Suspense</t>
  </si>
  <si>
    <t>FICTION / Thrillers / Suspense</t>
  </si>
  <si>
    <t>RELIGION / Christian Living / General</t>
  </si>
  <si>
    <t>RELIGION / Christian Living / Love &amp; Marriage</t>
  </si>
  <si>
    <t>RELIGION / Christian Theology / Apologetics</t>
  </si>
  <si>
    <t>RELIGION / Christian Theology / General</t>
  </si>
  <si>
    <t>John F. MacArthur</t>
  </si>
  <si>
    <t>BIBLES / New King James Version / Youth &amp; Teen</t>
  </si>
  <si>
    <t>FICTION / Christian / General</t>
  </si>
  <si>
    <t>JUVENILE NONFICTION / Religion / Bible Stories / General</t>
  </si>
  <si>
    <t>RELIGION / Biblical Studies / General</t>
  </si>
  <si>
    <t>Terri Blackstock</t>
  </si>
  <si>
    <t>BUSINESS &amp; ECONOMICS / Motivational</t>
  </si>
  <si>
    <t>The Berenstain Bears Love Their Neighbors</t>
  </si>
  <si>
    <t>Everybody Tells Me to Be Myself but I Don't Know Who I Am, Revised Edition</t>
  </si>
  <si>
    <t>Building Your Self-Esteem</t>
  </si>
  <si>
    <t>JUVENILE NONFICTION / Religious / Christian / Values &amp; Virtues</t>
  </si>
  <si>
    <t>Nancy N. Rue</t>
  </si>
  <si>
    <t>Faithgirlz</t>
  </si>
  <si>
    <t>The Berenstain Bears Play a Good Game</t>
  </si>
  <si>
    <t>The Berenstain Bears Say Their Prayers</t>
  </si>
  <si>
    <t>Colossians and Philemon</t>
  </si>
  <si>
    <t>1 Corinthians</t>
  </si>
  <si>
    <t>RELIGION / Christian Living / Women's Interests</t>
  </si>
  <si>
    <t>Once Upon a Time Storybook Bible</t>
  </si>
  <si>
    <t>JUVENILE NONFICTION / Religion / Bible Stories / Old Testament</t>
  </si>
  <si>
    <t>Bob and Larry in the Case of the Missing Patience</t>
  </si>
  <si>
    <t>Level 1</t>
  </si>
  <si>
    <t>Karen Poth</t>
  </si>
  <si>
    <t>I Can Read! / Big Idea Books / VeggieTales</t>
  </si>
  <si>
    <t>Bob and Larry's Creation Vacation</t>
  </si>
  <si>
    <t>Ephesians</t>
  </si>
  <si>
    <t>RELIGION / Biblical Studies / New Testament / Paul's Letters</t>
  </si>
  <si>
    <t>RELIGION / Christian Living / Personal Growth</t>
  </si>
  <si>
    <t>Galatians</t>
  </si>
  <si>
    <t>RELIGION / Biblical Commentary / New Testament / Paul's Letters</t>
  </si>
  <si>
    <t>Susie Shellenberger</t>
  </si>
  <si>
    <t>2 Corinthians</t>
  </si>
  <si>
    <t>Confronting Injustice Without Compromising Truth Study Guide</t>
  </si>
  <si>
    <t>A Guide to 12 Questions Christians Should Ask About Social Justice</t>
  </si>
  <si>
    <t>Zondervan Academic</t>
  </si>
  <si>
    <t>RELIGION / Christian Living / Social Issues</t>
  </si>
  <si>
    <t>Thaddeus J. Williams</t>
  </si>
  <si>
    <t>Kingdom Triangle</t>
  </si>
  <si>
    <t>Recover the Christian Mind, Renovate the Soul, Restore the Spirit's Power</t>
  </si>
  <si>
    <t>J. P. Moreland</t>
  </si>
  <si>
    <t>Catherine Claire Larson</t>
  </si>
  <si>
    <t>What's the Point of Theology?</t>
  </si>
  <si>
    <t>Wisdom, Wellbeing and Wonder</t>
  </si>
  <si>
    <t>RELIGION / Christian Theology / Systematic</t>
  </si>
  <si>
    <t>Alister E. McGrath</t>
  </si>
  <si>
    <t>Seasons of Sorrow</t>
  </si>
  <si>
    <t>The Pain of Loss and the Comfort of God</t>
  </si>
  <si>
    <t>RELIGION / Christian Living / Death, Grief, Bereavement</t>
  </si>
  <si>
    <t>Tim Challies</t>
  </si>
  <si>
    <t>SELF-HELP / Motivational &amp; Inspirational</t>
  </si>
  <si>
    <t>Case for Faith for Kids</t>
  </si>
  <si>
    <t>JUVENILE NONFICTION / Religion / Biblical Studies</t>
  </si>
  <si>
    <t>Lee Strobel-Robert Suggs-Robert Elmer</t>
  </si>
  <si>
    <t>Case Forâ€¦ Series for Kids</t>
  </si>
  <si>
    <t>The Case for Faith Student Edition</t>
  </si>
  <si>
    <t>A Journalist Investigates the Toughest Objections to Christianity</t>
  </si>
  <si>
    <t xml:space="preserve">YOUNG ADULT NONFICTION / Biography &amp; Autobiography / Religious </t>
  </si>
  <si>
    <t>Lee Strobel-Jane Vogel</t>
  </si>
  <si>
    <t>Case for â€¦ Series for Students</t>
  </si>
  <si>
    <t>Anne Graham Lotz</t>
  </si>
  <si>
    <t>RELIGION / Christian Living / Devotional</t>
  </si>
  <si>
    <t>Revelation</t>
  </si>
  <si>
    <t>The Berenstain Bears and the Easter Story</t>
  </si>
  <si>
    <t>Charles F. Stanley</t>
  </si>
  <si>
    <t>The Berenstain Bears' Christmas Tree</t>
  </si>
  <si>
    <t>Frank and Beans and the Scary Campout</t>
  </si>
  <si>
    <t>Level 2</t>
  </si>
  <si>
    <t>Kathy-jo Wargin</t>
  </si>
  <si>
    <t>I Can Read! / Frank and Beans Series</t>
  </si>
  <si>
    <t>JUVENILE NONFICTION / Religious / Christian / Inspirational</t>
  </si>
  <si>
    <t>The Beginner's Bible Jesus and His Friends</t>
  </si>
  <si>
    <t>My First</t>
  </si>
  <si>
    <t>JUVENILE NONFICTION / Religious / Christian / Early Readers</t>
  </si>
  <si>
    <t>PDF</t>
  </si>
  <si>
    <t>The Beginner's Bible</t>
  </si>
  <si>
    <t>I Can Read! / The Beginner's Bible</t>
  </si>
  <si>
    <t>The Beginner's Bible Moses and the King</t>
  </si>
  <si>
    <t>The Beginner's Bible Joseph and His Brothers</t>
  </si>
  <si>
    <t>The Berenstain Bears: All Things Bright and Beautiful</t>
  </si>
  <si>
    <t>The Berenstain Bears: The Trouble with Secrets</t>
  </si>
  <si>
    <t>The Berenstain Bears: Mama's Helpers</t>
  </si>
  <si>
    <t>JUVENILE FICTION / Readers / Beginner</t>
  </si>
  <si>
    <t>I Can Read! / Berenstain Bears / Good Deed Scouts / Living Lights: A Faith Story</t>
  </si>
  <si>
    <t>The Berenstain Bears: Let the Bible Be Your Guide</t>
  </si>
  <si>
    <t>The Berenstain Bears: Jobs Around Town</t>
  </si>
  <si>
    <t>The Berenstain Bears Show God's Love</t>
  </si>
  <si>
    <t>The Berenstain Bears Reap the Harvest</t>
  </si>
  <si>
    <t>The Berenstain Bears' Perfect Fishing Spot</t>
  </si>
  <si>
    <t>The Berenstain Bears Learn to Share</t>
  </si>
  <si>
    <t>The Berenstain Bears Give Thanks</t>
  </si>
  <si>
    <t>JUVENILE FICTION / Holidays &amp; Celebrations / Thanksgiving</t>
  </si>
  <si>
    <t>The Berenstain Bears Follow God's Word</t>
  </si>
  <si>
    <t>The Berenstain Bears Faithful Friends</t>
  </si>
  <si>
    <t>The Berenstain Bears and the Gift of Courage</t>
  </si>
  <si>
    <t>The Berenstain Bears and the Forgiving Tree</t>
  </si>
  <si>
    <t>A Prayer for Our Country</t>
  </si>
  <si>
    <t>JUVENILE NONFICTION / Religious / Christian / Devotional &amp; Prayer</t>
  </si>
  <si>
    <t>Barry Black</t>
  </si>
  <si>
    <t>Literary Critters</t>
  </si>
  <si>
    <t>William Shakesbear's Journey for Inspiration</t>
  </si>
  <si>
    <t>JUVENILE FICTION / Books &amp; Libraries</t>
  </si>
  <si>
    <t>My Learn to Read Bible</t>
  </si>
  <si>
    <t>Stories in Words and Pictures</t>
  </si>
  <si>
    <t>Tracy Harrast</t>
  </si>
  <si>
    <t>Berenstain Bears' Gossip Gang</t>
  </si>
  <si>
    <t>The Beginner's Bible Baby Moses and the Princess</t>
  </si>
  <si>
    <t>Renewing Biblical Interpretation</t>
  </si>
  <si>
    <t>RELIGION / Biblical Studies / Exegesis &amp; Hermeneutics</t>
  </si>
  <si>
    <t>Zondervan-Craig Bartholomew-Colin Greene-Karl MÃ¶ller</t>
  </si>
  <si>
    <t>Scripture and Hermeneutics Series</t>
  </si>
  <si>
    <t>A Royal Priesthood?: The Use of the Bible Ethically and Politically</t>
  </si>
  <si>
    <t>A Dialogue with Oliver O'Donovan</t>
  </si>
  <si>
    <t>Zondervan-Craig Bartholomew-Jonathan Chaplin-Robert Song-Al Wolters-Colin Greene-Karl MÃ¶ller</t>
  </si>
  <si>
    <t>After Pentecost: Language and Biblical Interpretation</t>
  </si>
  <si>
    <t>Reading Luke</t>
  </si>
  <si>
    <t>Interpretation, Reflection, Formation</t>
  </si>
  <si>
    <t>RELIGION / Eschatology</t>
  </si>
  <si>
    <t>Zondervan-Craig Bartholomew-Joel B. Green-Anthony C. Thiselton</t>
  </si>
  <si>
    <t>A Christmas Gift for Santa</t>
  </si>
  <si>
    <t>A Bedtime Book</t>
  </si>
  <si>
    <t>JUVENILE FICTION / Holidays &amp; Celebrations / Christmas &amp; Advent</t>
  </si>
  <si>
    <t>John T. Elkins</t>
  </si>
  <si>
    <t>Your Spark</t>
  </si>
  <si>
    <t>Celebrating the Brightest Part of You!</t>
  </si>
  <si>
    <t>JUVENILE FICTION / Social Themes / Values &amp; Virtues</t>
  </si>
  <si>
    <t>Lisa Leonard</t>
  </si>
  <si>
    <t>A Very Fiona Christmas</t>
  </si>
  <si>
    <t>A Fiona the Hippo Book</t>
  </si>
  <si>
    <t>Love You, Love You</t>
  </si>
  <si>
    <t>JUVENILE FICTION / Family / Alternative Family</t>
  </si>
  <si>
    <t>Clap Your Hands</t>
  </si>
  <si>
    <t>A Celebration of Gospel</t>
  </si>
  <si>
    <t>JUVENILE NONFICTION / Poetry / General</t>
  </si>
  <si>
    <t>Toyomi Igus</t>
  </si>
  <si>
    <t>Pugtato Finds a Thing</t>
  </si>
  <si>
    <t>HUMOR / Topic / Internet &amp; Social Media</t>
  </si>
  <si>
    <t>Love Letters From God</t>
  </si>
  <si>
    <t>Bible Stories</t>
  </si>
  <si>
    <t>Glenys Nellist</t>
  </si>
  <si>
    <t>Built Together</t>
  </si>
  <si>
    <t>Mina Starsiak</t>
  </si>
  <si>
    <t>Happy Birthday, Fiona</t>
  </si>
  <si>
    <t>JUVENILE FICTION / Holidays &amp; Celebrations / Birthdays</t>
  </si>
  <si>
    <t>The Beginner's Bible Read Through the Bible</t>
  </si>
  <si>
    <t>8 Bible Stories for Beginning Readers</t>
  </si>
  <si>
    <t>Piper and Mabel</t>
  </si>
  <si>
    <t>Two Very Wild but Very Good Dogs</t>
  </si>
  <si>
    <t>JUVENILE FICTION / Animals / Dogs</t>
  </si>
  <si>
    <t>Melanie Shankle</t>
  </si>
  <si>
    <t>The Beginner's Bible Jesus Is Born</t>
  </si>
  <si>
    <t>JUVENILE NONFICTION / Religion / Bible Stories / New Testament</t>
  </si>
  <si>
    <t>The Beginner's Bible David and the Giant</t>
  </si>
  <si>
    <t>The One and Only Wolfgang</t>
  </si>
  <si>
    <t>From Pet Rescue to One Big Happy Family</t>
  </si>
  <si>
    <t>JUVENILE FICTION / Animals / Pets</t>
  </si>
  <si>
    <t>Steve Greig-Mary Rand Hess</t>
  </si>
  <si>
    <t>One Big Heart</t>
  </si>
  <si>
    <t>A Celebration of Being More Alike Than Different</t>
  </si>
  <si>
    <t>JUVENILE FICTION / Religious / Christian / Social Issues</t>
  </si>
  <si>
    <t>Linsey Davis</t>
  </si>
  <si>
    <t>5-Minute Adventure Bible Stories, Polar Exploration Edition</t>
  </si>
  <si>
    <t>JUVENILE NONFICTION / Adventure &amp; Adventurers</t>
  </si>
  <si>
    <t>Adventure Bible</t>
  </si>
  <si>
    <t>Candace Center Stage</t>
  </si>
  <si>
    <t>JUVENILE FICTION / Performing Arts / Dance</t>
  </si>
  <si>
    <t>Candace Cameron Bure</t>
  </si>
  <si>
    <t>The Beginner's Bible Queen Esther Saves Her People</t>
  </si>
  <si>
    <t>Unstoppable Me</t>
  </si>
  <si>
    <t>JUVENILE FICTION / Animals / Lions, Tigers, Leopards, etc.</t>
  </si>
  <si>
    <t>Adam Dirks-Bethany Hamilton</t>
  </si>
  <si>
    <t>He's Got the Whole World in His Hands</t>
  </si>
  <si>
    <t>JUVENILE FICTION / Religious / Christian / Animals</t>
  </si>
  <si>
    <t>A Sing-Along Book</t>
  </si>
  <si>
    <t>The Beginner's Bible Let's Meet Jesus</t>
  </si>
  <si>
    <t>Jesus Loves the Little Children</t>
  </si>
  <si>
    <t>Mouse's Christmas Gift</t>
  </si>
  <si>
    <t>Mindy Baker</t>
  </si>
  <si>
    <t>Super Heroes Storybook Bible</t>
  </si>
  <si>
    <t>Jean E. Syswerda</t>
  </si>
  <si>
    <t>The Beginner's Bible The Very First Easter</t>
  </si>
  <si>
    <t>JUVENILE NONFICTION / Religious / Christian / Holidays &amp; Celebrations</t>
  </si>
  <si>
    <t>The Beginner's Bible 365 Devotions for Kids</t>
  </si>
  <si>
    <t>May the Faith Be With You: Bedtime Prayers</t>
  </si>
  <si>
    <t>Susan Collins Thoms</t>
  </si>
  <si>
    <t>The Berenstain Bears Brother Bear and the Kind Cub</t>
  </si>
  <si>
    <t>I Can Read! / Berenstain Bears / Living Lights: A Faith Story</t>
  </si>
  <si>
    <t>If You're Happy and You Know It</t>
  </si>
  <si>
    <t>JUVENILE FICTION / Imagination &amp; Play</t>
  </si>
  <si>
    <t>Jesus Loves Me</t>
  </si>
  <si>
    <t>The Berenstain Bears: Here's the Church, Here's the Steeple</t>
  </si>
  <si>
    <t>The Berenstain Bears: God Bless the Animals</t>
  </si>
  <si>
    <t>The Lord's Prayer</t>
  </si>
  <si>
    <t>Words of Hope and Happiness</t>
  </si>
  <si>
    <t>JUVENILE FICTION / Holidays &amp; Celebrations / Easter &amp; Lent</t>
  </si>
  <si>
    <t>Timeless Childrenâ€™s Stories</t>
  </si>
  <si>
    <t>God Bless America</t>
  </si>
  <si>
    <t>JUVENILE FICTION / Holidays &amp; Celebrations / Patriotic Holidays</t>
  </si>
  <si>
    <t>A Land That I Love Book</t>
  </si>
  <si>
    <t>The Legend of the Easter Robin</t>
  </si>
  <si>
    <t>An Easter Story of Compassion and Faith</t>
  </si>
  <si>
    <t>Dandi Daley Mackall</t>
  </si>
  <si>
    <t>The Beginner's Bible Noah and the Big Boat</t>
  </si>
  <si>
    <t>The Princess Twins Play in the Garden</t>
  </si>
  <si>
    <t>Mona Hodgson</t>
  </si>
  <si>
    <t>I Can Read! / Princess Twins Series</t>
  </si>
  <si>
    <t>The Princess Twins and the Puppy</t>
  </si>
  <si>
    <t>A Believe Devotional for Kids: Think, Act, Be Like Jesus, Vol. 1</t>
  </si>
  <si>
    <t>90 Devotions</t>
  </si>
  <si>
    <t>Randy Frazee</t>
  </si>
  <si>
    <t>A Believe Devotional for Kids: Think, Act, Be Like Jesus, Vol. 2</t>
  </si>
  <si>
    <t>A Believe Devotional for Kids: Think, Act, Be Like Jesus, Vol. 3</t>
  </si>
  <si>
    <t>Goodnight, Manger</t>
  </si>
  <si>
    <t>Laura Sassi</t>
  </si>
  <si>
    <t>My Give Thanks Bible</t>
  </si>
  <si>
    <t>Thankful</t>
  </si>
  <si>
    <t>Eileen Spinelli</t>
  </si>
  <si>
    <t>The Princess Twins and the Birthday Party</t>
  </si>
  <si>
    <t>The Princess Twins and the Tea Party</t>
  </si>
  <si>
    <t>Little Chick's Bible</t>
  </si>
  <si>
    <t>P J Lyons</t>
  </si>
  <si>
    <t>Little Bunny's Bible</t>
  </si>
  <si>
    <t>The Berenstain Bears God Shows the Way</t>
  </si>
  <si>
    <t>Jerusalem</t>
  </si>
  <si>
    <t>Let's Go Explore</t>
  </si>
  <si>
    <t>Jesus</t>
  </si>
  <si>
    <t>JUVENILE NONFICTION / Biography &amp; Autobiography / Religious</t>
  </si>
  <si>
    <t>Get to Know</t>
  </si>
  <si>
    <t>The Beginner's Bible Jesus Feeds the People</t>
  </si>
  <si>
    <t>The Beginner's Bible Baby Jesus Is Born</t>
  </si>
  <si>
    <t>The Berenstain Bears: Honey Hunt Helpers</t>
  </si>
  <si>
    <t>The Berenstain Bears: God Bless Our Home</t>
  </si>
  <si>
    <t>The Berenstain Bears: Kindness Counts</t>
  </si>
  <si>
    <t>The Berenstain Bears' Kitten Rescue</t>
  </si>
  <si>
    <t>The Berenstain Bears and the Golden Rule</t>
  </si>
  <si>
    <t>100 Things God Loves About You</t>
  </si>
  <si>
    <t>Simple Reminders for When You Need Them Most</t>
  </si>
  <si>
    <t>This Farm Is a Family</t>
  </si>
  <si>
    <t>JUVENILE FICTION / Animals / Farm Animals</t>
  </si>
  <si>
    <t>Dan McKernan</t>
  </si>
  <si>
    <t>Barn Sanctuary</t>
  </si>
  <si>
    <t>Fiona's Train Ride</t>
  </si>
  <si>
    <t>JUVENILE FICTION / Animals / Hippos &amp; Rhinos</t>
  </si>
  <si>
    <t>I Can Read! / A Fiona the Hippo Book</t>
  </si>
  <si>
    <t>Little One, We Knew You'd Come</t>
  </si>
  <si>
    <t>JUVENILE FICTION / Family / New Baby</t>
  </si>
  <si>
    <t>Sally Lloyd-Jones</t>
  </si>
  <si>
    <t>Fiona Goes to School</t>
  </si>
  <si>
    <t>Ten Little Fireflies</t>
  </si>
  <si>
    <t>JUVENILE FICTION / Concepts / Counting &amp; Numbers</t>
  </si>
  <si>
    <t>Deb Gruelle</t>
  </si>
  <si>
    <t>Baptized in the Water</t>
  </si>
  <si>
    <t>Becoming a Member of God's Family</t>
  </si>
  <si>
    <t>He Is Risen</t>
  </si>
  <si>
    <t>Rocks Tell the Story of Easter</t>
  </si>
  <si>
    <t>JUVENILE NONFICTION / Holidays &amp; Celebrations / Easter &amp; Lent</t>
  </si>
  <si>
    <t>Zondervan-Patti Rokus</t>
  </si>
  <si>
    <t>The Tiny Truths Bible for Little Ones</t>
  </si>
  <si>
    <t>Joanna Rivard-Tim Penner</t>
  </si>
  <si>
    <t>How High Is Heaven?</t>
  </si>
  <si>
    <t>JUVENILE FICTION / Religious / Christian / Emotions &amp; Feelings</t>
  </si>
  <si>
    <t>Snuggle Time Easter Stories</t>
  </si>
  <si>
    <t>A Snuggle Time Padded Board Book</t>
  </si>
  <si>
    <t>You're the Hugs to My Kisses</t>
  </si>
  <si>
    <t>And Other Fun Ways to Say I Love You</t>
  </si>
  <si>
    <t>JUVENILE FICTION / Holidays &amp; Celebrations / Valentine's Day</t>
  </si>
  <si>
    <t>Barbara Herndon</t>
  </si>
  <si>
    <t>The Berenstain Bears Values and Virtues Treasury</t>
  </si>
  <si>
    <t>Mike Berenstain</t>
  </si>
  <si>
    <t>Fiona and the Rainy Day</t>
  </si>
  <si>
    <t>EDUCATION / Home Schooling</t>
  </si>
  <si>
    <t>Fantastic Fiona</t>
  </si>
  <si>
    <t>I Wonder: Exploring God's Grand Story</t>
  </si>
  <si>
    <t>An Illustrated Bible</t>
  </si>
  <si>
    <t>Love Is</t>
  </si>
  <si>
    <t>An Illustrated Exploration of Godâ€™s Greatest Gift (Based on 1 Corinthians 13:4-8)</t>
  </si>
  <si>
    <t>The Berenstain Bears Bears On Time</t>
  </si>
  <si>
    <t>Solving the Lateness Problem!</t>
  </si>
  <si>
    <t>The Berenstain Bears God Made You Special</t>
  </si>
  <si>
    <t>JUVENILE FICTION / Disabilities &amp; Special Needs</t>
  </si>
  <si>
    <t>Fiona Saves the Day</t>
  </si>
  <si>
    <t>Meet Fiona the Hippo</t>
  </si>
  <si>
    <t>Fiona Helps a Friend</t>
  </si>
  <si>
    <t>JUVENILE FICTION / Animals / Zoos</t>
  </si>
  <si>
    <t>The Beginner's Bible First 100 Animal Words</t>
  </si>
  <si>
    <t>Stay This Way Forever</t>
  </si>
  <si>
    <t>JUVENILE FICTION / Bedtime &amp; Dreams</t>
  </si>
  <si>
    <t>'Twas the Morning of Easter</t>
  </si>
  <si>
    <t>'Twas Series</t>
  </si>
  <si>
    <t>Candace's Playful Puppy</t>
  </si>
  <si>
    <t>Near</t>
  </si>
  <si>
    <t>Psalm 139</t>
  </si>
  <si>
    <t>Jesus Storybook Bible</t>
  </si>
  <si>
    <t>The Berenstain Bears Learn About Heaven</t>
  </si>
  <si>
    <t>Valentine's Day Treats</t>
  </si>
  <si>
    <t>Tara Knudson</t>
  </si>
  <si>
    <t>Grandma Snuggles</t>
  </si>
  <si>
    <t>JUVENILE NONFICTION / Family / Multigenerational</t>
  </si>
  <si>
    <t>Tiny Truths Wonder and Wisdom</t>
  </si>
  <si>
    <t>Everyday Reminders From Psalms and Proverbs</t>
  </si>
  <si>
    <t>I'm Going to Give You a Polar Bear Hug!</t>
  </si>
  <si>
    <t>Caroline B. Cooney</t>
  </si>
  <si>
    <t>I Can Read My Illustrated Bible</t>
  </si>
  <si>
    <t>For Beginning Readers, Level 1</t>
  </si>
  <si>
    <t>JUVENILE NONFICTION / Readers / Beginner</t>
  </si>
  <si>
    <t>I Can Read!</t>
  </si>
  <si>
    <t>God Loves You, Little Peanut</t>
  </si>
  <si>
    <t>Annette Bourland</t>
  </si>
  <si>
    <t>The Berenstain Bears Love Is Kind</t>
  </si>
  <si>
    <t>Over in a Stable</t>
  </si>
  <si>
    <t>RELIGION / Holidays / Christmas &amp; Advent</t>
  </si>
  <si>
    <t>Suzanne Nelson</t>
  </si>
  <si>
    <t>Stand-Up Guys</t>
  </si>
  <si>
    <t>50 Christian Men Who Changed the World</t>
  </si>
  <si>
    <t>Kate Etue-Caroline Siegrist</t>
  </si>
  <si>
    <t>The Berenstain Bears God Loves the Animals</t>
  </si>
  <si>
    <t>My Jesus Story Collection</t>
  </si>
  <si>
    <t>18 New Testament Bible Stories</t>
  </si>
  <si>
    <t>Archbishop Desmond Tutu</t>
  </si>
  <si>
    <t>Nighty Night Narwhal</t>
  </si>
  <si>
    <t>What Would You Wish For?</t>
  </si>
  <si>
    <t>David Sable</t>
  </si>
  <si>
    <t>Ten Little Eggs</t>
  </si>
  <si>
    <t>A Celebration of Family</t>
  </si>
  <si>
    <t>JUVENILE FICTION / Family / Adoption</t>
  </si>
  <si>
    <t>The Berenstain Bears Very Beary Stories</t>
  </si>
  <si>
    <t>3 Books in 1</t>
  </si>
  <si>
    <t>Little Duckling's Easter Prayers</t>
  </si>
  <si>
    <t>Fiona, It's Bedtime</t>
  </si>
  <si>
    <t>Easter Egg Day</t>
  </si>
  <si>
    <t>How Big Is Your Brave?</t>
  </si>
  <si>
    <t>JUVENILE FICTION / Social Themes / Emotions &amp; Feelings</t>
  </si>
  <si>
    <t>Ruth Soukup</t>
  </si>
  <si>
    <t>The Berenstain Bears Honesty Counts</t>
  </si>
  <si>
    <t>Grow, Candace, Grow</t>
  </si>
  <si>
    <t>JUVENILE FICTION / Science &amp; Nature / Environment</t>
  </si>
  <si>
    <t>Baby's First Book of Blessings</t>
  </si>
  <si>
    <t>Melody Carlson</t>
  </si>
  <si>
    <t>The Berenstain Bears My Bedtime Book of Poems and Prayers</t>
  </si>
  <si>
    <t>Stan Berenstain-Mike Berenstain-Jan Berenstain</t>
  </si>
  <si>
    <t>The Berenstain Bears Sister Bear Favorites</t>
  </si>
  <si>
    <t>The Berenstain Bears Brother Bear Favorites</t>
  </si>
  <si>
    <t>Merry Christmas, Nighty Night</t>
  </si>
  <si>
    <t>Michael W. Smith-Mike Nawrocki</t>
  </si>
  <si>
    <t>Nurturing Steps</t>
  </si>
  <si>
    <t>The Berenstain Bears Go Christmas Caroling</t>
  </si>
  <si>
    <t>Big Dreams and Powerful Prayers Illustrated Bible</t>
  </si>
  <si>
    <t>30 Inspiring Stories From the Old and New Testament</t>
  </si>
  <si>
    <t>Mark Batterson</t>
  </si>
  <si>
    <t>The Bible Explorer's Guide People and Places</t>
  </si>
  <si>
    <t>1,000 Amazing Facts and Photos</t>
  </si>
  <si>
    <t>JUVENILE NONFICTION / Religion / Biblical Reference</t>
  </si>
  <si>
    <t>The Berenstain Bears Do the Right Thing</t>
  </si>
  <si>
    <t>A Kite for Moon</t>
  </si>
  <si>
    <t>Jane Yolen-Heidi E.Y. Stemple</t>
  </si>
  <si>
    <t>The Beginner's Bible Jesus Saves the World</t>
  </si>
  <si>
    <t>The Berenstain Bears Get the Job Done</t>
  </si>
  <si>
    <t>The Berenstain Bears The Very First Easter</t>
  </si>
  <si>
    <t>I Am</t>
  </si>
  <si>
    <t>Positive Affirmations for Kids</t>
  </si>
  <si>
    <t>JUVENILE FICTION / Social Themes / Self-Esteem &amp; Self-Reliance</t>
  </si>
  <si>
    <t>Snuggle Time Fall Blessings</t>
  </si>
  <si>
    <t>The Wonder That Is You</t>
  </si>
  <si>
    <t>The Beginner's Bible Jonah and the Giant Fish</t>
  </si>
  <si>
    <t>Bible Gems to Remember Illustrated Bible</t>
  </si>
  <si>
    <t>52 Stories with Easy Bible Memory in 5 Words or Less</t>
  </si>
  <si>
    <t>Robin Schmitt</t>
  </si>
  <si>
    <t>The Tiny Truths Illustrated Bible</t>
  </si>
  <si>
    <t>Tiny Truths</t>
  </si>
  <si>
    <t>I Love You, Funny Bunny</t>
  </si>
  <si>
    <t>JUVENILE FICTION / Animals / Rabbits</t>
  </si>
  <si>
    <t>The Berenstain Bears Patience, Please</t>
  </si>
  <si>
    <t>The Berenstain Bears Respect Each Other</t>
  </si>
  <si>
    <t>Loved</t>
  </si>
  <si>
    <t>The Lordâ€™s Prayer</t>
  </si>
  <si>
    <t>The Purpose Driven Life 100 Illustrated Devotions for Children</t>
  </si>
  <si>
    <t>The Beginner's Bible First 100 Bible Words</t>
  </si>
  <si>
    <t>Little Dove and the Story of Easter</t>
  </si>
  <si>
    <t>Little Sweet Pea, God Loves You</t>
  </si>
  <si>
    <t>Bear Picks a Pumpkin</t>
  </si>
  <si>
    <t>JUVENILE FICTION / Holidays &amp; Celebrations / Halloween</t>
  </si>
  <si>
    <t>Fearless Faith</t>
  </si>
  <si>
    <t>100 Devotions for Girls</t>
  </si>
  <si>
    <t>The Beginner's Bible God Makes the World</t>
  </si>
  <si>
    <t>The Berenstain Bears Stand Up to Bullying</t>
  </si>
  <si>
    <t>Two by Two</t>
  </si>
  <si>
    <t>Lisa Lowe Stauffer</t>
  </si>
  <si>
    <t>Stand Beautiful - Picture Book</t>
  </si>
  <si>
    <t>Chloe Howard</t>
  </si>
  <si>
    <t>Ready, Set, Find Bible Stories</t>
  </si>
  <si>
    <t>22 Look and Find Stories</t>
  </si>
  <si>
    <t>Ready, Set, Find</t>
  </si>
  <si>
    <t>The Beginner's Bible Jonah's Big Fish Adventure</t>
  </si>
  <si>
    <t>A Savior Is Born</t>
  </si>
  <si>
    <t>Rocks Tell the Story of Christmas</t>
  </si>
  <si>
    <t>JUVENILE NONFICTION / Holidays &amp; Celebrations / Christmas &amp; Advent</t>
  </si>
  <si>
    <t>Patti Rokus</t>
  </si>
  <si>
    <t>Here We Come, Construction Fun!</t>
  </si>
  <si>
    <t>JUVENILE FICTION / Transportation / Cars &amp; Trucks</t>
  </si>
  <si>
    <t>Rhonda Gowler Greene</t>
  </si>
  <si>
    <t>The Berenstain Bears Why Do Good Bears Have Bad Days?</t>
  </si>
  <si>
    <t>Christmas Cookie Day!</t>
  </si>
  <si>
    <t>My Christmas Story Tree</t>
  </si>
  <si>
    <t>Mary Manz Simon</t>
  </si>
  <si>
    <t>Love Is Kind</t>
  </si>
  <si>
    <t>JUVENILE FICTION / Family / Multigenerational</t>
  </si>
  <si>
    <t>Brick Builder's Illustrated Bible</t>
  </si>
  <si>
    <t>Over 35 Bible Stories for Kids</t>
  </si>
  <si>
    <t>Go Wild! Prayers for Little Ones</t>
  </si>
  <si>
    <t>Crystal Bowman</t>
  </si>
  <si>
    <t>I Want Your Smile, Crocodile</t>
  </si>
  <si>
    <t>Denette Fretz</t>
  </si>
  <si>
    <t>Let's Get Ready for Bed</t>
  </si>
  <si>
    <t>JUVENILE FICTION / Religious / Christian / Bedtime &amp; Dreams</t>
  </si>
  <si>
    <t>Snuggle Time Bible Stories</t>
  </si>
  <si>
    <t>Words to Love By</t>
  </si>
  <si>
    <t>JUVENILE FICTION / Concepts / Words</t>
  </si>
  <si>
    <t>Noah's Ark Animal ABCs</t>
  </si>
  <si>
    <t>JUVENILE NONFICTION / Concepts / Alphabet</t>
  </si>
  <si>
    <t>Fiona the Hippo</t>
  </si>
  <si>
    <t>God Made Mommy Special</t>
  </si>
  <si>
    <t>JUVENILE FICTION / Religious / Christian / Family</t>
  </si>
  <si>
    <t>God Made Daddy Special</t>
  </si>
  <si>
    <t>Go Wild! Bible Stories for Little Ones</t>
  </si>
  <si>
    <t>The Berenstain Bears Play a Fair Game</t>
  </si>
  <si>
    <t>The Berenstain Bears Father's Day Blessings</t>
  </si>
  <si>
    <t>JUVENILE FICTION / Holidays &amp; Celebrations / Father's Day</t>
  </si>
  <si>
    <t>Ready, Set, Find David and Goliath</t>
  </si>
  <si>
    <t>The Spirit of God Illustrated Bible</t>
  </si>
  <si>
    <t>Over 40 Stories of Godâ€™s Power and Presence</t>
  </si>
  <si>
    <t>Doris Wynbeek Rikkers</t>
  </si>
  <si>
    <t>The World Is Awake</t>
  </si>
  <si>
    <t>A Celebration of Everyday Blessings</t>
  </si>
  <si>
    <t>Linsey Davis-Joseph Bottum</t>
  </si>
  <si>
    <t>Easter Love Letters From God</t>
  </si>
  <si>
    <t>The Legends of Easter Treasury</t>
  </si>
  <si>
    <t>Inspirational Stories of Faith and Hope</t>
  </si>
  <si>
    <t>Dandi Daley Mackall-Lori Walburg-Chris Auer</t>
  </si>
  <si>
    <t>Bunny Blessings</t>
  </si>
  <si>
    <t>Kim Washburn</t>
  </si>
  <si>
    <t>With Love, From Me to You</t>
  </si>
  <si>
    <t>The Beginner's Bible Jesus Loves the World</t>
  </si>
  <si>
    <t>The Beginner's Bible Noah and the Great Big Ark</t>
  </si>
  <si>
    <t>The Beginner's Bible Daniel and the Lions' Den</t>
  </si>
  <si>
    <t>The Berenstain Bears' Bedtime Blessings</t>
  </si>
  <si>
    <t>Snuggle Time Christmas Stories</t>
  </si>
  <si>
    <t>The Legends of Christmas Treasury</t>
  </si>
  <si>
    <t>Inspirational Stories of Faith and Giving</t>
  </si>
  <si>
    <t>Dandi Daley Mackall-Lori Walburg</t>
  </si>
  <si>
    <t>God's Great Love for You</t>
  </si>
  <si>
    <t>'Twas the Evening of Christmas</t>
  </si>
  <si>
    <t>Bright Night</t>
  </si>
  <si>
    <t>Lorie Ann Grover</t>
  </si>
  <si>
    <t>Captain Snout and the Super Power Questions</t>
  </si>
  <si>
    <t>How to Calm Anxiety and Conquer Automatic Negative Thoughts (ANTs)</t>
  </si>
  <si>
    <t>JUVENILE FICTION / Health &amp; Daily Living / Mental Health</t>
  </si>
  <si>
    <t>Dr. Daniel Amen</t>
  </si>
  <si>
    <t>God Loves Me, My First Bible</t>
  </si>
  <si>
    <t>Susan Elizabeth Beck</t>
  </si>
  <si>
    <t>Once Upon a Time Bible for Little Ones</t>
  </si>
  <si>
    <t>JUVENILE NONFICTION / Religious / Christian / General</t>
  </si>
  <si>
    <t>The Bedtime Book</t>
  </si>
  <si>
    <t>Ready, Set, Find Noah's Ark</t>
  </si>
  <si>
    <t>The Berenstain Bears Bless Our Gramps and Gran</t>
  </si>
  <si>
    <t>The Beginner's Bible Noah and the Noisy Ark</t>
  </si>
  <si>
    <t>Love Letters From God; Bible Stories for a Girlâ€™s Heart</t>
  </si>
  <si>
    <t>The Bible Explorer's Guide</t>
  </si>
  <si>
    <t>Nancy I. Sanders</t>
  </si>
  <si>
    <t>Princess Prayers</t>
  </si>
  <si>
    <t>Jeanna Young-Jacqueline Kinney Johnson</t>
  </si>
  <si>
    <t>The Princess Parables</t>
  </si>
  <si>
    <t>The Princess Parables Daughters of the King</t>
  </si>
  <si>
    <t>Ten Little Night Stars</t>
  </si>
  <si>
    <t>The Berenstain Bears Sister Bear and the Golden Rule</t>
  </si>
  <si>
    <t>The Berenstain Bears Bless Our Pets</t>
  </si>
  <si>
    <t>Found</t>
  </si>
  <si>
    <t>Psalm 23</t>
  </si>
  <si>
    <t>The Legend of the Sand Dollar, Newly Illustrated Edition</t>
  </si>
  <si>
    <t>An Inspirational Story of Hope for Easter</t>
  </si>
  <si>
    <t>Chris Auer</t>
  </si>
  <si>
    <t>Ready, Set, Find Easter</t>
  </si>
  <si>
    <t>Baa! Oink! Moo! God Made the Animals</t>
  </si>
  <si>
    <t>God Made You Nose to Toes</t>
  </si>
  <si>
    <t>Leslie Parrott</t>
  </si>
  <si>
    <t>Lots of Love</t>
  </si>
  <si>
    <t>Read and Play Baby Bible</t>
  </si>
  <si>
    <t>The Berenstain Bears Get Ready for Christmas</t>
  </si>
  <si>
    <t>I'm Going to Give You a Bear Hug!</t>
  </si>
  <si>
    <t>JUVENILE FICTION / Animals / General</t>
  </si>
  <si>
    <t>The Berenstain Bears Bedtime Devotional</t>
  </si>
  <si>
    <t>Includes 90 Devotions</t>
  </si>
  <si>
    <t>101 Bible Stories From Creation to Revelation, Vol. 2</t>
  </si>
  <si>
    <t>The Berenstain Bears and the Christmas Angel</t>
  </si>
  <si>
    <t>A Royal Christmas to Remember</t>
  </si>
  <si>
    <t>Ready, Set, Find Christmas</t>
  </si>
  <si>
    <t>Christmas Love Letters From God</t>
  </si>
  <si>
    <t>A Night of Great Joy</t>
  </si>
  <si>
    <t>Mary Engelbreit</t>
  </si>
  <si>
    <t>Princess Hope and the Hidden Treasure</t>
  </si>
  <si>
    <t>I Can Read! / Princess Parables</t>
  </si>
  <si>
    <t>The Berenstain Bears' Holiday Cookbook</t>
  </si>
  <si>
    <t>Cub-Friendly Cooking With an Adult</t>
  </si>
  <si>
    <t>COOKING / Cooking for Kids</t>
  </si>
  <si>
    <t>Time for Bed, Sleepyhead</t>
  </si>
  <si>
    <t>The Falling Asleep Book</t>
  </si>
  <si>
    <t>Angels in the Bible Storybook, Vol. 3</t>
  </si>
  <si>
    <t>Allia Zobel Nolan</t>
  </si>
  <si>
    <t>Angels in the Bible Storybook, Vol. 2</t>
  </si>
  <si>
    <t>Angels in the Bible Storybook, Vol. 1</t>
  </si>
  <si>
    <t>The Berenstain Bears, Faithful Cubs</t>
  </si>
  <si>
    <t>Princess Charity's Golden Heart</t>
  </si>
  <si>
    <t>Princess Charity's Courageous Heart</t>
  </si>
  <si>
    <t>Princess Faith's Mysterious Garden</t>
  </si>
  <si>
    <t>The Berenstain Bears Treat Others Kindly</t>
  </si>
  <si>
    <t>Snuggle Time Psalms</t>
  </si>
  <si>
    <t>Pumpkin Patch Blessings</t>
  </si>
  <si>
    <t>The Berenstain Bears' Caring and Sharing Treasury</t>
  </si>
  <si>
    <t>The Berenstain Bears Bear Country Blessings</t>
  </si>
  <si>
    <t>The Berenstain Bears School Time Blessings</t>
  </si>
  <si>
    <t>God Bless Texas</t>
  </si>
  <si>
    <t>JUVENILE FICTION / People &amp; Places / United States / General</t>
  </si>
  <si>
    <t>God Bless Florida</t>
  </si>
  <si>
    <t>God Is Watching Over You</t>
  </si>
  <si>
    <t>Believe Storybook, Vol. 2</t>
  </si>
  <si>
    <t>Think, Act, Be Like Jesus</t>
  </si>
  <si>
    <t>Randy Frazee-Laurie Lazzaro Knowlton</t>
  </si>
  <si>
    <t>Baby Wren and the Great Gift</t>
  </si>
  <si>
    <t>JUVENILE FICTION / Animals / Birds</t>
  </si>
  <si>
    <t>A Royal Easter Story</t>
  </si>
  <si>
    <t>Adventure Bible for Little Ones</t>
  </si>
  <si>
    <t>Catherine DeVries</t>
  </si>
  <si>
    <t>The Beginner's Bible Jesus Heals the Sick</t>
  </si>
  <si>
    <t>The Beginner's Bible Jesus Feeds the Hungry</t>
  </si>
  <si>
    <t>Thank You, Lord, For Everything</t>
  </si>
  <si>
    <t>The Berenstain Bears' Easter Sunday</t>
  </si>
  <si>
    <t>Miracles of Jesus</t>
  </si>
  <si>
    <t>I Can Read! / Adventure Bible</t>
  </si>
  <si>
    <t>The Berenstain Bears' Harvest Festival</t>
  </si>
  <si>
    <t>A Father's Love</t>
  </si>
  <si>
    <t>The Berenstain Bears Lessons in Love</t>
  </si>
  <si>
    <t>Facing the Blazing Furnace</t>
  </si>
  <si>
    <t>The Berenstain Bears, The Very First Christmas</t>
  </si>
  <si>
    <t>Joseph the Dreamer</t>
  </si>
  <si>
    <t>Ruth and Naomi</t>
  </si>
  <si>
    <t>Moses Leads the People</t>
  </si>
  <si>
    <t>God's Great Creation</t>
  </si>
  <si>
    <t>The Legend of the Christmas Cookie</t>
  </si>
  <si>
    <t>Sharing the True Meaning of Christmas</t>
  </si>
  <si>
    <t>Benjamin's Box</t>
  </si>
  <si>
    <t>The Story of the Resurrection Eggs</t>
  </si>
  <si>
    <t>The Good Samaritan</t>
  </si>
  <si>
    <t>Read with Me Bible for Little Ones</t>
  </si>
  <si>
    <t>My Bedtime Story Bible for Little Ones</t>
  </si>
  <si>
    <t>All Aboard the Ark</t>
  </si>
  <si>
    <t>Little One, God Loves You</t>
  </si>
  <si>
    <t>Amy Warren Hilliker</t>
  </si>
  <si>
    <t>Little One, God Made You Special</t>
  </si>
  <si>
    <t>Paul Meets Jesus</t>
  </si>
  <si>
    <t>Counting Blessings</t>
  </si>
  <si>
    <t>JUVENILE NONFICTION / Concepts / Counting &amp; Numbers</t>
  </si>
  <si>
    <t>Elijah, God's Mighty Prophet</t>
  </si>
  <si>
    <t>Snuggle Time Prayers</t>
  </si>
  <si>
    <t>The Berenstain Bears Mother's Day Blessings</t>
  </si>
  <si>
    <t>7 Days of Awesome</t>
  </si>
  <si>
    <t>A Creation Tale</t>
  </si>
  <si>
    <t>Shawn Byous</t>
  </si>
  <si>
    <t>Tiny Bear's Bible</t>
  </si>
  <si>
    <t>The Berenstain Bears' Country Cookbook</t>
  </si>
  <si>
    <t>Cub-Friendly Cooking with an Adult</t>
  </si>
  <si>
    <t>JUVENILE NONFICTION / Cooking &amp; Food</t>
  </si>
  <si>
    <t>The Day Is Waiting</t>
  </si>
  <si>
    <t>JUVENILE FICTION / People &amp; Places / General</t>
  </si>
  <si>
    <t>Linda Zuckerman</t>
  </si>
  <si>
    <t>The First Easter Ever</t>
  </si>
  <si>
    <t>101 Bible Stories From Creation to Revelation, Vol. 1</t>
  </si>
  <si>
    <t>The Berenstain Bears Help the Homeless</t>
  </si>
  <si>
    <t>The First Christmas Ever</t>
  </si>
  <si>
    <t>Dennis Jones</t>
  </si>
  <si>
    <t>Galilee</t>
  </si>
  <si>
    <t>Egypt</t>
  </si>
  <si>
    <t>Israel</t>
  </si>
  <si>
    <t>JUVENILE FICTION / Short Stories</t>
  </si>
  <si>
    <t>The Plans I Have For You</t>
  </si>
  <si>
    <t>Amy Parker</t>
  </si>
  <si>
    <t>The Berenstain Bears and the Biggest Brag</t>
  </si>
  <si>
    <t>Mary</t>
  </si>
  <si>
    <t>Apostle Paul</t>
  </si>
  <si>
    <t>BS2506.5 .S26 2014eb</t>
  </si>
  <si>
    <t>Apostles--Biography--Juvenile literature.</t>
  </si>
  <si>
    <t>Get to Know Series</t>
  </si>
  <si>
    <t>Berenstain Bears' Valentine Blessings</t>
  </si>
  <si>
    <t>Our Constitution Rocks</t>
  </si>
  <si>
    <t>JUVENILE NONFICTION / History / United States / Colonial &amp; Revolutionary Periods</t>
  </si>
  <si>
    <t>Juliette Turner</t>
  </si>
  <si>
    <t>Princess Petunia's Sweet Apple Pie</t>
  </si>
  <si>
    <t>Who Wants to Be a Pirate?</t>
  </si>
  <si>
    <t>What's Up with Lyle?</t>
  </si>
  <si>
    <t>LarryBoy Meets the Bubblegum Bandit</t>
  </si>
  <si>
    <t>The Spoon in the Stone / VeggieTales</t>
  </si>
  <si>
    <t>A Lesson in Serving Others</t>
  </si>
  <si>
    <t>Doug Peterson-Cindy Kenney</t>
  </si>
  <si>
    <t>Big Idea Books / VeggieTown Values</t>
  </si>
  <si>
    <t>Field of Beans / VeggieTales</t>
  </si>
  <si>
    <t>A Lesson in Faith</t>
  </si>
  <si>
    <t>Doug Peterson</t>
  </si>
  <si>
    <t>The Rhyme Bible Storybook</t>
  </si>
  <si>
    <t>Thoughts to Make Your Heart Sing</t>
  </si>
  <si>
    <t>The Berenstain Bears, God Made the Seasons</t>
  </si>
  <si>
    <t>Berenstain Bears, Faith Gets Us Through</t>
  </si>
  <si>
    <t>Ben Hurry / VeggieTales</t>
  </si>
  <si>
    <t>A Lesson in Patience</t>
  </si>
  <si>
    <t>The Princess and the Three Knights</t>
  </si>
  <si>
    <t>The Berenstain Bears Show Some Respect</t>
  </si>
  <si>
    <t>Jan Berenstain</t>
  </si>
  <si>
    <t>The Berenstain Bears' Neighbor in Need</t>
  </si>
  <si>
    <t>The Berenstain Bears and the Little Lost Cub</t>
  </si>
  <si>
    <t>The Berenstain Bears and the Joy of Giving</t>
  </si>
  <si>
    <t>The True Meaning of Christmas</t>
  </si>
  <si>
    <t>Super Ace and the Thirsty Planet</t>
  </si>
  <si>
    <t>Matt Vander Pol</t>
  </si>
  <si>
    <t>Super Ace and the Space Traffic Jam</t>
  </si>
  <si>
    <t>Cheryl Crouch-Matt Vander Pol</t>
  </si>
  <si>
    <t>Super Ace and the Rotten Robots</t>
  </si>
  <si>
    <t>Super Ace and the Mega Wow 3000</t>
  </si>
  <si>
    <t>I Can Read! / Superhero Series</t>
  </si>
  <si>
    <t>The Beginner's Bible Queen Esther Helps God's People</t>
  </si>
  <si>
    <t>Formerly Titled Esther and the King, My First</t>
  </si>
  <si>
    <t>Princess Joy's Birthday Blessing</t>
  </si>
  <si>
    <t>Princess Grace and the Little Lost Kitten</t>
  </si>
  <si>
    <t>Brave Young Knight</t>
  </si>
  <si>
    <t>JUVENILE NONFICTION / Biography &amp; Autobiography / Social Activists</t>
  </si>
  <si>
    <t>JUVENILE FICTION / Social Themes / Friendship</t>
  </si>
  <si>
    <t>Diane M. Stortz</t>
  </si>
  <si>
    <t>JUVENILE FICTION / Religious / Christian / Humorous</t>
  </si>
  <si>
    <t>RELIGION / Christian Ministry / Children</t>
  </si>
  <si>
    <t>RELIGION / Biblical Biography / General</t>
  </si>
  <si>
    <t>JUVENILE FICTION / Fantasy &amp; Magic</t>
  </si>
  <si>
    <t>JUVENILE NONFICTION / Social Topics / Self-Esteem &amp; Self-Reliance</t>
  </si>
  <si>
    <t>Sheila Walsh</t>
  </si>
  <si>
    <t>JUVENILE NONFICTION / Biography &amp; Autobiography / Sports &amp; Recreation</t>
  </si>
  <si>
    <t>Carrie Marrs</t>
  </si>
  <si>
    <t>JUVENILE FICTION / Religious / Christian / General</t>
  </si>
  <si>
    <t>JUVENILE FICTION / Religious / Christian / Relationships</t>
  </si>
  <si>
    <t>JUVENILE FICTION / Religious / General</t>
  </si>
  <si>
    <t>POETRY / Subjects &amp; Themes / Inspirational &amp; Religious</t>
  </si>
  <si>
    <t>JUVENILE FICTION / Religious / Christian / Action &amp; Adventure</t>
  </si>
  <si>
    <t>JUVENILE FICTION / Religious / Christian / Fantasy &amp; Science Fiction</t>
  </si>
  <si>
    <t>JUVENILE FICTION / Religious / Christian / Friendship</t>
  </si>
  <si>
    <t>FAMILY &amp; RELATIONSHIPS / Parenting / General</t>
  </si>
  <si>
    <t>FAMILY &amp; RELATIONSHIPS / Marriage &amp; Long-Term Relationships</t>
  </si>
  <si>
    <t>Big Idea Books / VeggieTales</t>
  </si>
  <si>
    <t>Faithgirlz Handbook, Updated and Expanded</t>
  </si>
  <si>
    <t>How to Let Your Faith Shine Through</t>
  </si>
  <si>
    <t>Suzanne Hadley</t>
  </si>
  <si>
    <t>What to Do Next</t>
  </si>
  <si>
    <t>Taking Your Best Step When Life Is Uncertain</t>
  </si>
  <si>
    <t>Jeff Henderson</t>
  </si>
  <si>
    <t>FICTION / Christian / Romance / General</t>
  </si>
  <si>
    <t>Denise Hunter</t>
  </si>
  <si>
    <t>HUMOR / Topic / Religion</t>
  </si>
  <si>
    <t>SELF-HELP / Personal Growth / Happiness</t>
  </si>
  <si>
    <t>RELIGION / Sermons / Christian</t>
  </si>
  <si>
    <t>Charles H. Spurgeon</t>
  </si>
  <si>
    <t>RELIGION / Christian Education / Adult</t>
  </si>
  <si>
    <t>RELIGION / Christian Theology / Eschatology</t>
  </si>
  <si>
    <t>RELIGION / Christian Living / Professional Growth</t>
  </si>
  <si>
    <t>RELIGION / Christian Living / Men's Interests</t>
  </si>
  <si>
    <t>RELIGION / Biblical Studies / History &amp; Culture</t>
  </si>
  <si>
    <t>RELIGION / Biblical Studies / Prophecy</t>
  </si>
  <si>
    <t>Melanie Dickerson</t>
  </si>
  <si>
    <t>Robin Lee Hatcher</t>
  </si>
  <si>
    <t>Kathleen Fuller</t>
  </si>
  <si>
    <t>Christine Caine</t>
  </si>
  <si>
    <t>FICTION / Women</t>
  </si>
  <si>
    <t>NRSVue, Holy Bible with Apocrypha</t>
  </si>
  <si>
    <t>BIBLES / New Revised Standard Version / Text</t>
  </si>
  <si>
    <t>NIV, Teen Study Bible</t>
  </si>
  <si>
    <t>BIBLES / New International Version / Youth &amp; Teen</t>
  </si>
  <si>
    <t>Lead Like It Matters</t>
  </si>
  <si>
    <t>7 Leadership Principles for a Church That Lasts</t>
  </si>
  <si>
    <t>RELIGION / Christian Church / Growth</t>
  </si>
  <si>
    <t>Craig Groeschel</t>
  </si>
  <si>
    <t>Organic Disciples Study Guide</t>
  </si>
  <si>
    <t>Seven Ways to Grow Spiritually and Naturally Share Jesus</t>
  </si>
  <si>
    <t>Kevin G. Harney-Sherry Harney</t>
  </si>
  <si>
    <t>RELIGION / Christian Ministry / Evangelism</t>
  </si>
  <si>
    <t>Religious Freedom in a Secular Age</t>
  </si>
  <si>
    <t>A Christian Case for Liberty, Equality, and Secular Government</t>
  </si>
  <si>
    <t>RELIGION / Religion, Politics &amp; State</t>
  </si>
  <si>
    <t>Michael F. Bird</t>
  </si>
  <si>
    <t>NRSVue, Holy Bible</t>
  </si>
  <si>
    <t>Help Me, God, I'm a Parent</t>
  </si>
  <si>
    <t>Honest Prayers for Hectic Days and Endless Nights</t>
  </si>
  <si>
    <t>Bunmi Laditan</t>
  </si>
  <si>
    <t>Life-Changing Cross-Cultural Friendships</t>
  </si>
  <si>
    <t>How You Can Help Heal Racial Divides, One Relationship at a Time</t>
  </si>
  <si>
    <t>Gary Chapman-Clarence Shuler</t>
  </si>
  <si>
    <t>The Art of Getting It Wrong</t>
  </si>
  <si>
    <t>Finding Good in the Misadventures of Life</t>
  </si>
  <si>
    <t>Stephen Miller</t>
  </si>
  <si>
    <t>The Warmth of Sunshine</t>
  </si>
  <si>
    <t>FICTION / Amish &amp; Mennonite</t>
  </si>
  <si>
    <t>Kelly Irvin</t>
  </si>
  <si>
    <t>Amish Blessings</t>
  </si>
  <si>
    <t>Building a Future</t>
  </si>
  <si>
    <t>Amy Clipston</t>
  </si>
  <si>
    <t>An Amish Legacy Novel</t>
  </si>
  <si>
    <t>The 2% Way</t>
  </si>
  <si>
    <t>How a Philosophy of Small Improvements Took Me to Oxford, the NFL, and Neurosurgery</t>
  </si>
  <si>
    <t>BIOGRAPHY &amp; AUTOBIOGRAPHY / Medical (incl. Patients)</t>
  </si>
  <si>
    <t>Dr. Myron L. Rolle</t>
  </si>
  <si>
    <t>Beautiful People Don't Just Happen</t>
  </si>
  <si>
    <t>How God Redeems Regret, Hurt, and Fear in the Making of Better Humans</t>
  </si>
  <si>
    <t>Scott Sauls</t>
  </si>
  <si>
    <t>Against Liberal Theology</t>
  </si>
  <si>
    <t>Putting the Brakes on Progressive Christianity</t>
  </si>
  <si>
    <t>BR1615</t>
  </si>
  <si>
    <t>Christianity--21st century.,Liberalism (Religion),Liberalism (Religion)--United States.</t>
  </si>
  <si>
    <t>Roger E. Olson</t>
  </si>
  <si>
    <t>What You Do Best</t>
  </si>
  <si>
    <t>Unleashing the Power of Your Spiritual Gifts, Relational Style, and Life Passion</t>
  </si>
  <si>
    <t>Bruce L. Bugbee</t>
  </si>
  <si>
    <t>Not in It to Win It</t>
  </si>
  <si>
    <t>Why Choosing Sides Sidelines The Church</t>
  </si>
  <si>
    <t>Andy Stanley</t>
  </si>
  <si>
    <t>The Lord Is My Courage</t>
  </si>
  <si>
    <t>Stepping Through the Shadows of Fear Toward the Voice of Love</t>
  </si>
  <si>
    <t>K.J. Ramsey</t>
  </si>
  <si>
    <t>The Beauty Chasers</t>
  </si>
  <si>
    <t>Recapturing the Wonder of the Divine</t>
  </si>
  <si>
    <t>Timothy D. Willard</t>
  </si>
  <si>
    <t>Rooted Leadership</t>
  </si>
  <si>
    <t>Seeking Godâ€™s Answers to the Eleven Core Questions Every Leader Faces</t>
  </si>
  <si>
    <t>RELIGION / Christian Living / Leadership &amp; Mentoring</t>
  </si>
  <si>
    <t>John Johnson</t>
  </si>
  <si>
    <t>Out of Chaos</t>
  </si>
  <si>
    <t>How God Makes New Things From the Broken Pieces of Life</t>
  </si>
  <si>
    <t>Jessica LaGrone</t>
  </si>
  <si>
    <t>Karl Barth's Church Dogmatics for Everyone, Volume 1---The Doctrine of the Word of God</t>
  </si>
  <si>
    <t>A Step-by-Step Guide for Beginners and Pros</t>
  </si>
  <si>
    <t>BT75.3.B373 F65 2022</t>
  </si>
  <si>
    <t>Theology, Doctrinal.</t>
  </si>
  <si>
    <t>Marty Folsom</t>
  </si>
  <si>
    <t>Karl Barth's Church Dogmatics for Everyone</t>
  </si>
  <si>
    <t>The Lost Letters to the Twelve Prophets</t>
  </si>
  <si>
    <t>Imagining the Minor Prophets' World</t>
  </si>
  <si>
    <t>RELIGION / Biblical Commentary / Old Testament / Prophets</t>
  </si>
  <si>
    <t>BS1560</t>
  </si>
  <si>
    <t>Dr. John Goldingay</t>
  </si>
  <si>
    <t>Transforming Communication</t>
  </si>
  <si>
    <t>Progressing From Cross-Cultural to Intercultural Communication of Christ</t>
  </si>
  <si>
    <t>RELIGION / Christian Ministry / Missions</t>
  </si>
  <si>
    <t>Dr. Vee J. D-Davidson</t>
  </si>
  <si>
    <t>Global Christianity</t>
  </si>
  <si>
    <t>A Guide to the Worldâ€™s Largest Religion From Afghanistan to Zimbabwe</t>
  </si>
  <si>
    <t>RELIGION / Reference</t>
  </si>
  <si>
    <t>Gina Zurlo</t>
  </si>
  <si>
    <t>15 New Testament Words of Life</t>
  </si>
  <si>
    <t>A New Testament Theology for Real Life</t>
  </si>
  <si>
    <t>RELIGION / Biblical Studies / New Testament / General</t>
  </si>
  <si>
    <t>Nijay K. Gupta</t>
  </si>
  <si>
    <t>All I Am</t>
  </si>
  <si>
    <t>A Catholic Devotional for Discovering Who You Are in God</t>
  </si>
  <si>
    <t xml:space="preserve">YOUNG ADULT NONFICTION / Religious / Christian / Devotional &amp; Prayer </t>
  </si>
  <si>
    <t>Caroline Pignat</t>
  </si>
  <si>
    <t>100 Devotions for Kids Dealing with Anxiety</t>
  </si>
  <si>
    <t>Justine Froelker</t>
  </si>
  <si>
    <t>Esther</t>
  </si>
  <si>
    <t>RELIGION / Biblical Meditations / New Testament</t>
  </si>
  <si>
    <t>Take Back Your Power</t>
  </si>
  <si>
    <t>10 New Rules for Women at Work</t>
  </si>
  <si>
    <t>BUSINESS &amp; ECONOMICS / Women in Business</t>
  </si>
  <si>
    <t>Deborah Liu</t>
  </si>
  <si>
    <t>The Truth and Beauty</t>
  </si>
  <si>
    <t>How the Lives and Works of England's Greatest Poets Point the Way to a Deeper Understanding of the Words of Jesus</t>
  </si>
  <si>
    <t>PR468.R44</t>
  </si>
  <si>
    <t>Bible and literature.,Christianity and literature--Great Britain--History--19th century.,English literature--19th century--History and criticism.,Romanticism--Great Britain.</t>
  </si>
  <si>
    <t>Andrew Klavan</t>
  </si>
  <si>
    <t>FICTION / Christian / Romance / Suspense</t>
  </si>
  <si>
    <t>FAMILY &amp; RELATIONSHIPS / Friendship</t>
  </si>
  <si>
    <t>Scot McKnight</t>
  </si>
  <si>
    <t>FICTION / Christian / Romance / Historical</t>
  </si>
  <si>
    <t>The Zondervan 2023 Pastor's Annual</t>
  </si>
  <si>
    <t>An Idea and Resource Book</t>
  </si>
  <si>
    <t>T. T. Crabtree</t>
  </si>
  <si>
    <t>A Mindful Moment</t>
  </si>
  <si>
    <t>5-Minute Meditations and Devotions</t>
  </si>
  <si>
    <t>Irene Kraegel</t>
  </si>
  <si>
    <t>RELIGION / Biblical Reference / Concordances</t>
  </si>
  <si>
    <t>Ken Anderson</t>
  </si>
  <si>
    <t>JUVENILE NONFICTION / Religious / Christian / Science &amp; Nature</t>
  </si>
  <si>
    <t>NIV, Adventure Bible: The Gospel of Mark</t>
  </si>
  <si>
    <t>BIBLES / New International Version / Children</t>
  </si>
  <si>
    <t>Lawrence O. Richards</t>
  </si>
  <si>
    <t>RELIGION / Christian Living / Spiritual Warfare</t>
  </si>
  <si>
    <t>Bible Doctrine, Second Edition</t>
  </si>
  <si>
    <t>Essential Teachings of the Christian Faith</t>
  </si>
  <si>
    <t>BT75.3</t>
  </si>
  <si>
    <t>Wayne A. Grudem-Alexander Grudem</t>
  </si>
  <si>
    <t>Second edition</t>
  </si>
  <si>
    <t>RELIGION / Christian Theology / Pneumatology</t>
  </si>
  <si>
    <t>BIOGRAPHY &amp; AUTOBIOGRAPHY / Sports</t>
  </si>
  <si>
    <t>A Simple Guide to Experience Miracles</t>
  </si>
  <si>
    <t>Instruction and Inspiration for Living Supernaturally in Christ</t>
  </si>
  <si>
    <t>BT97.3</t>
  </si>
  <si>
    <t>Miracles.</t>
  </si>
  <si>
    <t>NATURE / Environmental Conservation &amp; Protection</t>
  </si>
  <si>
    <t>Dietrich Bonhoeffer's Christmas Sermons</t>
  </si>
  <si>
    <t>Dietrich Bonhoeffer-Edwin H. Robertson</t>
  </si>
  <si>
    <t>RELIGION / Christianity / History</t>
  </si>
  <si>
    <t>RELIGION / Biblical Reference / General</t>
  </si>
  <si>
    <t>Journey Into God's Word</t>
  </si>
  <si>
    <t>Your Guide to Understanding and Applying the Bible</t>
  </si>
  <si>
    <t>J. Scott Duvall-J. Daniel Hays</t>
  </si>
  <si>
    <t>Journey Into God's Word, Second Edition</t>
  </si>
  <si>
    <t>Praying for Purpose for Women</t>
  </si>
  <si>
    <t>A Prayer Experience That Will Change Your Life Forever</t>
  </si>
  <si>
    <t>Katherine Brazelton</t>
  </si>
  <si>
    <t>Pathway to Purpose</t>
  </si>
  <si>
    <t>FICTION / Romance / Historical / General</t>
  </si>
  <si>
    <t>An Introduction to Biblical Greek Workbook</t>
  </si>
  <si>
    <t>Elementary Syntax and Linguistics</t>
  </si>
  <si>
    <t>RELIGION / Biblical Reference / Language Study</t>
  </si>
  <si>
    <t>PA817</t>
  </si>
  <si>
    <t>Religion.</t>
  </si>
  <si>
    <t>Dana M. Harris-Chi-ying Wong</t>
  </si>
  <si>
    <t>100 Devotions</t>
  </si>
  <si>
    <t>Me, Myself, and Pie</t>
  </si>
  <si>
    <t>More Than 100 Simple and Delicious Amish Recipes</t>
  </si>
  <si>
    <t>COOKING / Courses &amp; Dishes / Pies</t>
  </si>
  <si>
    <t>Sherry Gore</t>
  </si>
  <si>
    <t>The Pinecraft Collection</t>
  </si>
  <si>
    <t>How to Break the Pattern of People Pleasing and Confidently Live Your Life</t>
  </si>
  <si>
    <t>Karen Ehman</t>
  </si>
  <si>
    <t>Emotionally Healthy Spirituality</t>
  </si>
  <si>
    <t>BT734.2</t>
  </si>
  <si>
    <t>Acts</t>
  </si>
  <si>
    <t>John Mark Comer</t>
  </si>
  <si>
    <t>BV4597.52</t>
  </si>
  <si>
    <t>Dan Kimball</t>
  </si>
  <si>
    <t>Great Is Thy Faithfulness</t>
  </si>
  <si>
    <t>BIOGRAPHY &amp; AUTOBIOGRAPHY / Religious</t>
  </si>
  <si>
    <t>The Case for Christ Devotions for Kids</t>
  </si>
  <si>
    <t>365 Days with Jesus</t>
  </si>
  <si>
    <t>Lee Strobel</t>
  </si>
  <si>
    <t>100 Days to Brave for Kids</t>
  </si>
  <si>
    <t>Devotions for Overcoming Fear and Finding Your Courage</t>
  </si>
  <si>
    <t>Annie F. Downs</t>
  </si>
  <si>
    <t>The Case for Heaven Young Reader's Edition</t>
  </si>
  <si>
    <t>Investigating What Happens After Our Life on Earth</t>
  </si>
  <si>
    <t>Case for â€¦ Series for Young Readers</t>
  </si>
  <si>
    <t>Four Views on Heaven</t>
  </si>
  <si>
    <t>BT846.3</t>
  </si>
  <si>
    <t>Heaven--Christianity.</t>
  </si>
  <si>
    <t>Counterpoints: Bible and Theology</t>
  </si>
  <si>
    <t>1â€“2 Kings</t>
  </si>
  <si>
    <t>RELIGION / Biblical Commentary / Old Testament / General</t>
  </si>
  <si>
    <t>BS1335.53</t>
  </si>
  <si>
    <t>David T. Lamb</t>
  </si>
  <si>
    <t>The Story of God Bible Commentary</t>
  </si>
  <si>
    <t>The Concise New International Dictionary of New Testament Theology and Exegesis</t>
  </si>
  <si>
    <t>BS2312</t>
  </si>
  <si>
    <t>Greek language, Biblical--Glossaries, vocabularies, etc.</t>
  </si>
  <si>
    <t>Zondervan-Christopher A. Beetham</t>
  </si>
  <si>
    <t>Christian Beliefs, Revised Edition</t>
  </si>
  <si>
    <t>Twenty Basics Every Christian Should Know</t>
  </si>
  <si>
    <t>BT77</t>
  </si>
  <si>
    <t>Theology, Doctrinal--Popular works.</t>
  </si>
  <si>
    <t>Wayne A. Grudem-Elliot Grudem</t>
  </si>
  <si>
    <t>Revised edition</t>
  </si>
  <si>
    <t>Bible Doctrine Workbook</t>
  </si>
  <si>
    <t>Study Questions and Practical Exercises for Learning the Essential Teachings of the Christian Faith</t>
  </si>
  <si>
    <t>Brianna Smith-Erik Thoennes-Wayne A. Grudem</t>
  </si>
  <si>
    <t>Christian Beliefs Study Guide</t>
  </si>
  <si>
    <t>Review and Reflection Exercises on Twenty Basics Every Christian Should Know</t>
  </si>
  <si>
    <t>Wayne A. Grudem</t>
  </si>
  <si>
    <t>The Problem of God Study Guide</t>
  </si>
  <si>
    <t>Answering a Skepticâ€™s Challenges to Christianity</t>
  </si>
  <si>
    <t>Mark Clark</t>
  </si>
  <si>
    <t>The Case for Heaven</t>
  </si>
  <si>
    <t>A Journalist Investigates Evidence for Life After Death</t>
  </si>
  <si>
    <t>Seven Days That Divide the World, 10th Anniversary Edition</t>
  </si>
  <si>
    <t>The Beginning According to Genesis and Science</t>
  </si>
  <si>
    <t>RELIGION / Religion &amp; Science</t>
  </si>
  <si>
    <t>John C. Lennox</t>
  </si>
  <si>
    <t>10th Anniversary Edition</t>
  </si>
  <si>
    <t>A Season of Change</t>
  </si>
  <si>
    <t>Beth Wiseman</t>
  </si>
  <si>
    <t>The Amish Inn Novels</t>
  </si>
  <si>
    <t>A Christmas Prayer</t>
  </si>
  <si>
    <t>An Amish Christmas Wedding Story</t>
  </si>
  <si>
    <t>Vannetta Chapman</t>
  </si>
  <si>
    <t>Honey for a Child's Heart Updated and Expanded</t>
  </si>
  <si>
    <t>The Imaginative Use of Books in Family Life</t>
  </si>
  <si>
    <t>Gladys Hunt-Mark Hunt</t>
  </si>
  <si>
    <t>Daily Guideposts 2022</t>
  </si>
  <si>
    <t>A Spirit-Lifting Devotional</t>
  </si>
  <si>
    <t>Guideposts</t>
  </si>
  <si>
    <t>Mornings with Jesus 2022</t>
  </si>
  <si>
    <t>Daily Encouragement for Your Soul</t>
  </si>
  <si>
    <t>A Grace Disguised Revised and Expanded</t>
  </si>
  <si>
    <t>How the Soul Grows Through Loss</t>
  </si>
  <si>
    <t>Jerry L. Sittser</t>
  </si>
  <si>
    <t>Joni</t>
  </si>
  <si>
    <t>An Unforgettable Story</t>
  </si>
  <si>
    <t>Joni Eareckson Tada-Joe Musser</t>
  </si>
  <si>
    <t>The Case for Faith</t>
  </si>
  <si>
    <t>Case for ... Series</t>
  </si>
  <si>
    <t>Love in Plain Sight</t>
  </si>
  <si>
    <t>An Amish Mail-Order Bride Novel</t>
  </si>
  <si>
    <t>NIV, Thompson Chain-Reference Bible</t>
  </si>
  <si>
    <t>BIBLES / New International Version / Reference</t>
  </si>
  <si>
    <t>A Christian's Guide to Planet Earth</t>
  </si>
  <si>
    <t>Why It Matters and How to Care for It</t>
  </si>
  <si>
    <t>Betsy Painter</t>
  </si>
  <si>
    <t>Get Unstuck and Stay Unstuck</t>
  </si>
  <si>
    <t>Because Fear Is Not the Boss of You</t>
  </si>
  <si>
    <t>Jennifer Allwood</t>
  </si>
  <si>
    <t>The Booksellerâ€™s Promise</t>
  </si>
  <si>
    <t>The Amish Bookstore Novels</t>
  </si>
  <si>
    <t>Healing Water for the Soul</t>
  </si>
  <si>
    <t>L. B. E. Cowman</t>
  </si>
  <si>
    <t>The Good Girl's Guide to Great Sex</t>
  </si>
  <si>
    <t>Creating a Marriage That's Both Holy and Hot</t>
  </si>
  <si>
    <t>HQ63</t>
  </si>
  <si>
    <t>Sex counseling.,Sex--Religious aspects--Christianity.,Women--Sexual behavior.</t>
  </si>
  <si>
    <t>Sheila Wray Gregoire</t>
  </si>
  <si>
    <t>Attached to God</t>
  </si>
  <si>
    <t>A Practical Guide to Deeper Spiritual Experience</t>
  </si>
  <si>
    <t>BT180.H54</t>
  </si>
  <si>
    <t>God--Knowableness.,Hidden God.,Spiritual life--Christianity.</t>
  </si>
  <si>
    <t>Krispin Mayfield</t>
  </si>
  <si>
    <t>Cast Your Cares</t>
  </si>
  <si>
    <t>A 40-Day Journey to Find Rest for Your Soul</t>
  </si>
  <si>
    <t>Abide Christian Meditation</t>
  </si>
  <si>
    <t>Finding Joy in the Empty Nest</t>
  </si>
  <si>
    <t>Discover Purpose and Passion in the Next Phase of Life</t>
  </si>
  <si>
    <t>Jim Burns, Ph.D</t>
  </si>
  <si>
    <t>The Good Guy's Guide to Great Sex</t>
  </si>
  <si>
    <t>Because Good Guys Make the Best Lovers</t>
  </si>
  <si>
    <t>Sheila Wray Gregoire-Keith Ronald Gregoire</t>
  </si>
  <si>
    <t>Peace Is a Practice</t>
  </si>
  <si>
    <t>An Invitation to Breathe Deep and Find a New Rhythm for Life</t>
  </si>
  <si>
    <t>Morgan Harper Nichols</t>
  </si>
  <si>
    <t>I Guess I Haven't Learned That Yet</t>
  </si>
  <si>
    <t>Discovering New Ways of Living When the Old Ways Stop Working</t>
  </si>
  <si>
    <t>Shauna Niequist</t>
  </si>
  <si>
    <t>Rembrandt Is in the Wind</t>
  </si>
  <si>
    <t>Learning to Love Art Through the Eyes of Faith</t>
  </si>
  <si>
    <t>RELIGION / Christianity / Literature &amp; the Arts</t>
  </si>
  <si>
    <t>Russ Ramsey</t>
  </si>
  <si>
    <t>Recovering Our Sanity</t>
  </si>
  <si>
    <t>How the Fear of God Conquers the Fears That Divide Us</t>
  </si>
  <si>
    <t>BV4908.5</t>
  </si>
  <si>
    <t>Fear of God--Christianity.,Fear--Religious aspects--Christianity.</t>
  </si>
  <si>
    <t>Michael Horton</t>
  </si>
  <si>
    <t>The Discerning Life</t>
  </si>
  <si>
    <t>An Invitation to Notice God in Everything</t>
  </si>
  <si>
    <t>Stephen Macchia</t>
  </si>
  <si>
    <t>The Sexual Reformation</t>
  </si>
  <si>
    <t>Restoring the Dignity and Personhood of Man and Woman</t>
  </si>
  <si>
    <t>RELIGION / Christian Theology / Anthropology</t>
  </si>
  <si>
    <t>BS1485.6.S45</t>
  </si>
  <si>
    <t>Sex role--Biblical teaching.</t>
  </si>
  <si>
    <t>Aimee Byrd</t>
  </si>
  <si>
    <t>Organic Disciples</t>
  </si>
  <si>
    <t>A Doubter's Guide to World Religions</t>
  </si>
  <si>
    <t>A Fair and Friendly Introduction to the History, Beliefs, and Practices of the Big Five</t>
  </si>
  <si>
    <t>BL80.3</t>
  </si>
  <si>
    <t>Religions.</t>
  </si>
  <si>
    <t>John Dickson</t>
  </si>
  <si>
    <t>How to Hear God</t>
  </si>
  <si>
    <t>A Simple Guide for Normal People</t>
  </si>
  <si>
    <t>RELIGION / Christian Rituals &amp; Practice / Worship &amp; Liturgy</t>
  </si>
  <si>
    <t>Pete Greig</t>
  </si>
  <si>
    <t>The Good News of Our Limits</t>
  </si>
  <si>
    <t>Find Greater Peace, Joy, and Effectiveness Through Godâ€™s Gift of Inadequacy</t>
  </si>
  <si>
    <t>BT702</t>
  </si>
  <si>
    <t>Adaptability (Psychology),Peace--Religious aspects--Christianity.,Theological anthropology--Christianity.</t>
  </si>
  <si>
    <t>Sean McGever</t>
  </si>
  <si>
    <t>We Go On</t>
  </si>
  <si>
    <t>Finding Purpose in All of Lifeâ€™s Sorrows and Joys</t>
  </si>
  <si>
    <t>John Onwuchekwa</t>
  </si>
  <si>
    <t>NRSV, The C. S. Lewis Bible</t>
  </si>
  <si>
    <t>For Reading, Reflection, and Inspiration</t>
  </si>
  <si>
    <t>BIBLES / New Revised Standard Version / Devotional</t>
  </si>
  <si>
    <t>C. S. Lewis</t>
  </si>
  <si>
    <t>Calm Your Anxious Mind</t>
  </si>
  <si>
    <t>Daily Devotions to Manage Stress and Build Resilience</t>
  </si>
  <si>
    <t>An Amish Quilting Bee</t>
  </si>
  <si>
    <t>Three Stories</t>
  </si>
  <si>
    <t>Amy Clipston-Kathleen Fuller-Shelley Shepard Gray</t>
  </si>
  <si>
    <t>The Amish Marketplace Collection</t>
  </si>
  <si>
    <t>The Bake Shop, The Farm Stand, The Coffee Corner, The Jam and Jelly Nook</t>
  </si>
  <si>
    <t>An Amish Marketplace Novel</t>
  </si>
  <si>
    <t>Foundation of Love</t>
  </si>
  <si>
    <t>Not So Black and White</t>
  </si>
  <si>
    <t>An Invitation to Honest Conversations About Race and Faith</t>
  </si>
  <si>
    <t>E185.61</t>
  </si>
  <si>
    <t>Race relations--United States.,Racism--Religious aspects--Christianity.,Racism--United States.,Racism--United States--History.</t>
  </si>
  <si>
    <t>Reggie Dabbs-John Driver</t>
  </si>
  <si>
    <t>Peace with the Psalms</t>
  </si>
  <si>
    <t>40 Readings to Relax Your Mind and Calm Your Heart</t>
  </si>
  <si>
    <t>Made for This Moment</t>
  </si>
  <si>
    <t>Standing Firm with Strength, Grace, and Courage</t>
  </si>
  <si>
    <t>BIOGRAPHY &amp; AUTOBIOGRAPHY / Entertainment &amp; Performing Arts</t>
  </si>
  <si>
    <t>Madison Prewett</t>
  </si>
  <si>
    <t>Habits of the Household</t>
  </si>
  <si>
    <t>Practicing the Story of God in Everyday Family Rhythms</t>
  </si>
  <si>
    <t>RELIGION / Christian Living / Parenting</t>
  </si>
  <si>
    <t>BV4526.3</t>
  </si>
  <si>
    <t>Families--Religious aspects--Christianity.,Families--Religious life.,Households--Religious aspects--Christianity.</t>
  </si>
  <si>
    <t>Justin Whitmel Earley</t>
  </si>
  <si>
    <t>Married Sex</t>
  </si>
  <si>
    <t>A Christian Couple's Guide to Reimagining Your Love Life</t>
  </si>
  <si>
    <t>BT708</t>
  </si>
  <si>
    <t>Marriage--Religious aspects--Christianity.,Sex--Religious aspects--Christianity.</t>
  </si>
  <si>
    <t>Gary Thomas-Debra K. Fileta</t>
  </si>
  <si>
    <t>Say Yes</t>
  </si>
  <si>
    <t>Discover the Surprising Life Beyond the Death of a Dream</t>
  </si>
  <si>
    <t>Scott Erickson</t>
  </si>
  <si>
    <t>Holiday of Hope</t>
  </si>
  <si>
    <t>Wreathed in Joy</t>
  </si>
  <si>
    <t>Evergreen Love</t>
  </si>
  <si>
    <t>The Aspiring Leader's Guide to the Future</t>
  </si>
  <si>
    <t>9 Surprising Ways Leadership Is Changing</t>
  </si>
  <si>
    <t>HD57.7</t>
  </si>
  <si>
    <t>Authentic leadership.,Leadership.,Leadership--Psychological aspects.</t>
  </si>
  <si>
    <t>Clay Scroggins</t>
  </si>
  <si>
    <t>Talking About Race</t>
  </si>
  <si>
    <t>Gospel Hope for Hard Conversations</t>
  </si>
  <si>
    <t>Church and social problems.,Race relations--Religious aspects--Christianity.</t>
  </si>
  <si>
    <t>Isaac Adams</t>
  </si>
  <si>
    <t>NIV, The Grace and Truth Study Bible</t>
  </si>
  <si>
    <t>BIBLES / New International Version / Study</t>
  </si>
  <si>
    <t>Baking with the Bread Lady</t>
  </si>
  <si>
    <t>100 Delicious Recipes You Can Master at Home</t>
  </si>
  <si>
    <t>COOKING / Courses &amp; Dishes / Bread</t>
  </si>
  <si>
    <t>Sarah Gonzalez</t>
  </si>
  <si>
    <t>A Surrendered Yes</t>
  </si>
  <si>
    <t>52 Devotions to Let Go and Live Free</t>
  </si>
  <si>
    <t>RELIGION / Christian Living / Devotional Journal</t>
  </si>
  <si>
    <t>Rebekah Lyons</t>
  </si>
  <si>
    <t>More Than a Healer</t>
  </si>
  <si>
    <t>Not the Jesus You Want, but the Jesus You Need</t>
  </si>
  <si>
    <t>Costi W. Hinn</t>
  </si>
  <si>
    <t>The Lighthouse Effect</t>
  </si>
  <si>
    <t>How Ordinary People Can Have an Extraordinary Impact in the World</t>
  </si>
  <si>
    <t>Steve Pemberton</t>
  </si>
  <si>
    <t>Deep Peace</t>
  </si>
  <si>
    <t>Finding Calm in a World of Conflict and Anxiety</t>
  </si>
  <si>
    <t>RELIGION / Christian Ministry / Discipleship</t>
  </si>
  <si>
    <t>Todd D. Hunter</t>
  </si>
  <si>
    <t>Still Time to Care</t>
  </si>
  <si>
    <t>What We Can Learn From the Churchâ€™s Failed Attempt to Cure Homosexuality</t>
  </si>
  <si>
    <t>RELIGION / Sexuality &amp; Gender Studies</t>
  </si>
  <si>
    <t>BV4596.G38</t>
  </si>
  <si>
    <t>Christian gays.,Christian gays--Religious life.,Church work with gays.,Homosexuality--Religious aspects--Christianity.</t>
  </si>
  <si>
    <t>Greg Johnson</t>
  </si>
  <si>
    <t>Contagious Faith</t>
  </si>
  <si>
    <t>Discover Your Natural Style for Sharing Jesus with Others</t>
  </si>
  <si>
    <t>BV4520 .M58 2021</t>
  </si>
  <si>
    <t>Christian life.,Evangelistic work.</t>
  </si>
  <si>
    <t>Mark Mittelberg</t>
  </si>
  <si>
    <t>Person of Interest Investigator's Guide</t>
  </si>
  <si>
    <t>Why Jesus Still Matters in a World That Rejects the Bible</t>
  </si>
  <si>
    <t>J. Warner Wallace</t>
  </si>
  <si>
    <t>Person of Interest</t>
  </si>
  <si>
    <t>BT303.2</t>
  </si>
  <si>
    <t>Christianity.,Theology.</t>
  </si>
  <si>
    <t>Why I Trust the Bible</t>
  </si>
  <si>
    <t>Answers to Real Questions and Doubts People Have About the Bible</t>
  </si>
  <si>
    <t>RELIGION / Biblical Criticism &amp; Interpretation / New Testament</t>
  </si>
  <si>
    <t>BS511.3 .M725 2021eb</t>
  </si>
  <si>
    <t>William D. Mounce</t>
  </si>
  <si>
    <t>Why Is There Suffering?</t>
  </si>
  <si>
    <t>Pick Your Own Theological Expedition</t>
  </si>
  <si>
    <t>RELIGION / Christian Theology / Process</t>
  </si>
  <si>
    <t>BT732.7 .S65 2021eb</t>
  </si>
  <si>
    <t>Apologetics.,Suffering--Biblical teaching.,Suffering--Religious aspects--Christianity.</t>
  </si>
  <si>
    <t>Bethany N. Sollereder</t>
  </si>
  <si>
    <t>When You Don't Know What to Pray</t>
  </si>
  <si>
    <t>100 Essential Prayers for Enduring Life's Storms</t>
  </si>
  <si>
    <t>RELIGION / Prayer</t>
  </si>
  <si>
    <t>Balance</t>
  </si>
  <si>
    <t>Positioning Yourself to Do All Things Well</t>
  </si>
  <si>
    <t>TourÃ© Roberts</t>
  </si>
  <si>
    <t>The Faithful Apologist</t>
  </si>
  <si>
    <t>Rethinking the Role of Persuasion in Apologetics</t>
  </si>
  <si>
    <t>BT1103 .O455 2022</t>
  </si>
  <si>
    <t>Apologetics.,Influence (Psychology)--Religious aspects--Christianity.</t>
  </si>
  <si>
    <t>K. Scott Oliphint</t>
  </si>
  <si>
    <t>Learning the Good Life</t>
  </si>
  <si>
    <t>Wisdom From the Great Hearts and Minds That Came Before</t>
  </si>
  <si>
    <t>Jessica Hooten Wilson-Jacob Stratman</t>
  </si>
  <si>
    <t>Christology in Mark's Gospel: Four Views</t>
  </si>
  <si>
    <t>BT203</t>
  </si>
  <si>
    <t>J. R. Daniel Kirk-Adam Winn-Sandra Huebenthal-L. W. Hurtado</t>
  </si>
  <si>
    <t>Critical Points</t>
  </si>
  <si>
    <t>A Theology of Paul and His Letters</t>
  </si>
  <si>
    <t>The Gift of the New Realm in Christ</t>
  </si>
  <si>
    <t>BS2651</t>
  </si>
  <si>
    <t>Douglas J. Moo</t>
  </si>
  <si>
    <t>Biblical Theology of the New Testament</t>
  </si>
  <si>
    <t>Biblical Greek Vocabulary in Context</t>
  </si>
  <si>
    <t>Building Competency with Words Occurring 25 Times or More</t>
  </si>
  <si>
    <t>Greek language, Biblical--Glossaries, vocabularies, etc.,Greek language, Biblical--Textbooks.</t>
  </si>
  <si>
    <t>Miles V. Van Pelt</t>
  </si>
  <si>
    <t>Topical Preaching in a Complex World</t>
  </si>
  <si>
    <t>How to Proclaim Truth and Relevance at the Same Time</t>
  </si>
  <si>
    <t>RELIGION / Christian Ministry / Preaching</t>
  </si>
  <si>
    <t>BV4235.T65</t>
  </si>
  <si>
    <t>Preaching.,Topical preaching.</t>
  </si>
  <si>
    <t>Sam Chan-Malcolm Gill</t>
  </si>
  <si>
    <t>Believing Philosophy</t>
  </si>
  <si>
    <t>A Guide to Becoming a Christian Philosopher</t>
  </si>
  <si>
    <t>RELIGION / Philosophy</t>
  </si>
  <si>
    <t>BR100</t>
  </si>
  <si>
    <t>Christian philosophy.</t>
  </si>
  <si>
    <t>Dolores G. Morris</t>
  </si>
  <si>
    <t>As Fast As Her</t>
  </si>
  <si>
    <t>Dream Big, Break Barriers, Achieve Success</t>
  </si>
  <si>
    <t xml:space="preserve">YOUNG ADULT NONFICTION / Biography &amp; Autobiography / Women </t>
  </si>
  <si>
    <t>Kendall Coyne-Estelle Laure</t>
  </si>
  <si>
    <t>How to Fight Racism Young Reader's Edition</t>
  </si>
  <si>
    <t>A Guide to Standing Up for Racial Justice</t>
  </si>
  <si>
    <t>JUVENILE NONFICTION / Activism &amp; Social Justice</t>
  </si>
  <si>
    <t>Jemar Tisby</t>
  </si>
  <si>
    <t>God's Power in Me</t>
  </si>
  <si>
    <t>52 Declarations and Devotions for Kids</t>
  </si>
  <si>
    <t>'Twas the Season of Advent</t>
  </si>
  <si>
    <t>Devotions and Stories for the Christmas Season</t>
  </si>
  <si>
    <t>Pugtato Babysits the Snouts</t>
  </si>
  <si>
    <t>SPORTS &amp; RECREATION / Golf</t>
  </si>
  <si>
    <t>RELIGION / Holidays / Easter &amp; Lent</t>
  </si>
  <si>
    <t>RELIGION / Christian Living / Personal Memoirs</t>
  </si>
  <si>
    <t>BR115.C8</t>
  </si>
  <si>
    <t>SELF-HELP / Personal Growth / Success</t>
  </si>
  <si>
    <t>RELIGION / Christianity / Pentecostal &amp; Charismatic</t>
  </si>
  <si>
    <t>Catholic Bible Press</t>
  </si>
  <si>
    <t>FICTION / Christian / Contemporary</t>
  </si>
  <si>
    <t>FICTION / Romance / Contemporary</t>
  </si>
  <si>
    <t>BUSINESS &amp; ECONOMICS / Personal Finance / Money Management</t>
  </si>
  <si>
    <t>HG179</t>
  </si>
  <si>
    <t>FAMILY &amp; RELATIONSHIPS / Parenting / Motherhood</t>
  </si>
  <si>
    <t>365 Devotions</t>
  </si>
  <si>
    <t>BV4811</t>
  </si>
  <si>
    <t>Epub edition</t>
  </si>
  <si>
    <t>RELIGION / Biblical Criticism &amp; Interpretation / General</t>
  </si>
  <si>
    <t>HQ734</t>
  </si>
  <si>
    <t>RELIGION / Counseling</t>
  </si>
  <si>
    <t>John A. Sowers</t>
  </si>
  <si>
    <t>YOUNG ADULT FICTION / Thrillers &amp; Suspense / General</t>
  </si>
  <si>
    <t>Ann Voskamp</t>
  </si>
  <si>
    <t>BV4528.2</t>
  </si>
  <si>
    <t>BV4527</t>
  </si>
  <si>
    <t>RELIGION / Christianity / Protestant</t>
  </si>
  <si>
    <t>Exodus</t>
  </si>
  <si>
    <t>Rebecca Bender</t>
  </si>
  <si>
    <t>RELIGION / Christian Rituals &amp; Practice / Sacraments</t>
  </si>
  <si>
    <t>Christian life.</t>
  </si>
  <si>
    <t>James</t>
  </si>
  <si>
    <t>BS2785.3</t>
  </si>
  <si>
    <t>BIOGRAPHY &amp; AUTOBIOGRAPHY / Personal Memoirs</t>
  </si>
  <si>
    <t>BIOGRAPHY &amp; AUTOBIOGRAPHY / LGBTQ+</t>
  </si>
  <si>
    <t>HEALTH &amp; FITNESS / Healthy Living &amp; Personal Hygiene</t>
  </si>
  <si>
    <t>FAMILY &amp; RELATIONSHIPS / Dating</t>
  </si>
  <si>
    <t>BIBLES / New Revised Standard Version / General</t>
  </si>
  <si>
    <t xml:space="preserve">YOUNG ADULT FICTION / Fantasy / General </t>
  </si>
  <si>
    <t>A Counselor's Guide to Christian Mindfulness</t>
  </si>
  <si>
    <t>Engaging the Mind, Body, and Soul in Biblical Practices and Therapies</t>
  </si>
  <si>
    <t>RC489.M55 T73 2021eb</t>
  </si>
  <si>
    <t>Mindfulness (Psychology),Mindfulness-based cognitive therapy--Religious aspects--Christianity.</t>
  </si>
  <si>
    <t>Dr. Regina Chow Trammel-John Trent</t>
  </si>
  <si>
    <t>Redeeming Heartache</t>
  </si>
  <si>
    <t>How Past Suffering Reveals Our True Calling</t>
  </si>
  <si>
    <t>BF175.5.P75</t>
  </si>
  <si>
    <t>Crisis management--Religious aspects--Christianity.,Psychic trauma--Religious aspects--Christianity.</t>
  </si>
  <si>
    <t>Dan B. Allender, PLLC-Cathy Loerzel</t>
  </si>
  <si>
    <t>A Mother's Guide to Raising Herself</t>
  </si>
  <si>
    <t>What Parenting Taught Me About Life, Faith, and Myself</t>
  </si>
  <si>
    <t>Sarah Bragg</t>
  </si>
  <si>
    <t>Matched and Married</t>
  </si>
  <si>
    <t>Subversive Witness</t>
  </si>
  <si>
    <t>Scripture's Call to Leverage Privilege</t>
  </si>
  <si>
    <t>BR115.J8</t>
  </si>
  <si>
    <t>Christianity and justice.,Distributive justice--Religious aspects--Christianity.,Social justice--Religious aspects--Christianity.</t>
  </si>
  <si>
    <t>Dominique DuBois Gilliard</t>
  </si>
  <si>
    <t>Ethics Beyond Rules</t>
  </si>
  <si>
    <t>How Christâ€™s Call to Love Informs Our Moral Choices</t>
  </si>
  <si>
    <t>RELIGION / Christian Theology / Ethics</t>
  </si>
  <si>
    <t>BJ1261</t>
  </si>
  <si>
    <t>Christian ethics.,Christian ethics--Study and teaching.</t>
  </si>
  <si>
    <t>Keith D Stanglin</t>
  </si>
  <si>
    <t>For Shame</t>
  </si>
  <si>
    <t>Rediscovering the Virtues of a Maligned Emotion</t>
  </si>
  <si>
    <t>BF575.S45 T46 2021eb</t>
  </si>
  <si>
    <t>Shame--Philosophy.,Shame--Religious aspects--Christianity.</t>
  </si>
  <si>
    <t>Gregg Ten Elshof</t>
  </si>
  <si>
    <t>Kenneth D. Boa</t>
  </si>
  <si>
    <t>High School Talksheets-Updated!</t>
  </si>
  <si>
    <t>50 Creative Discussions for High School Youth Groups</t>
  </si>
  <si>
    <t>David Lynn</t>
  </si>
  <si>
    <t>TalkSheets</t>
  </si>
  <si>
    <t>Middle School Talksheets</t>
  </si>
  <si>
    <t>50 Ready-to-Use Discussions on the Life of Christ</t>
  </si>
  <si>
    <t>Terry D. Linhart</t>
  </si>
  <si>
    <t>More High School Talksheets-Updated!</t>
  </si>
  <si>
    <t>50 More Creative Discussions for High School Youth Groups</t>
  </si>
  <si>
    <t>It's Easy Being Green</t>
  </si>
  <si>
    <t>One Student's Guide to Serving God and Saving the Planet</t>
  </si>
  <si>
    <t>Zondervan/Youth Specialties</t>
  </si>
  <si>
    <t>Emma Sleeth</t>
  </si>
  <si>
    <t>Wisdom On ... Growing in Christ</t>
  </si>
  <si>
    <t>Mark Matlock</t>
  </si>
  <si>
    <t>Still More High School Talksheets</t>
  </si>
  <si>
    <t>50 Creative Discussions for Your Youth Group</t>
  </si>
  <si>
    <t>David W. Rogers</t>
  </si>
  <si>
    <t>New Girl in Town</t>
  </si>
  <si>
    <t>'Nama Beach High</t>
  </si>
  <si>
    <t>The Case for the Real Jesus Student Edition</t>
  </si>
  <si>
    <t>A Journalist Investigates Current Challenges to Christianity</t>
  </si>
  <si>
    <t xml:space="preserve">YOUNG ADULT NONFICTION / Religion / Biblical Stories &amp; Studies </t>
  </si>
  <si>
    <t>Totally Unfair</t>
  </si>
  <si>
    <t>Generation Change</t>
  </si>
  <si>
    <t>Roll Up Your Sleeves and Change the World</t>
  </si>
  <si>
    <t>Zach Hunter</t>
  </si>
  <si>
    <t>Be the Change</t>
  </si>
  <si>
    <t>Your Guide to Freeing Slaves and Changing the World</t>
  </si>
  <si>
    <t>The Case for a Creator Student Edition</t>
  </si>
  <si>
    <t>A Journalist Investigates Scientific Evidence That Points Toward God</t>
  </si>
  <si>
    <t xml:space="preserve">YOUNG ADULT NONFICTION / Religion / Christianity </t>
  </si>
  <si>
    <t>BT103</t>
  </si>
  <si>
    <t>God--Proof, Cosmological--Juvenile literature.,Religion and science--Juvenile literature.</t>
  </si>
  <si>
    <t>Student edition</t>
  </si>
  <si>
    <t>The Case for Christ Student Edition</t>
  </si>
  <si>
    <t>A Journalist's Personal Investigation of the Evidence for Jesus</t>
  </si>
  <si>
    <t>BT202 .S82 2017eb</t>
  </si>
  <si>
    <t>Apologetics.</t>
  </si>
  <si>
    <t>Storm Rising</t>
  </si>
  <si>
    <t>Faithgirlz / Blog On!</t>
  </si>
  <si>
    <t>A 365-Day Devotional</t>
  </si>
  <si>
    <t>NIrV, The Story of Jesus for Kids</t>
  </si>
  <si>
    <t>Experience the Life of Jesus As One Seamless Story</t>
  </si>
  <si>
    <t>BIBLES / New International Reader's Version / Children</t>
  </si>
  <si>
    <t>The Story</t>
  </si>
  <si>
    <t>NIrV, The Books of the Bible for Kids: Covenant History</t>
  </si>
  <si>
    <t>Discover the Beginnings of Godâ€™s People</t>
  </si>
  <si>
    <t>The Books of the Bible</t>
  </si>
  <si>
    <t>Linspired</t>
  </si>
  <si>
    <t>Mike Yorkey-Jesse Florea</t>
  </si>
  <si>
    <t>ZonderKidz Biography</t>
  </si>
  <si>
    <t>NIrV, The Books of the Bible for Kids: The Prophets</t>
  </si>
  <si>
    <t>Listen to Godâ€™s Messengers Tell About Hope and Truth</t>
  </si>
  <si>
    <t>Love, Annie</t>
  </si>
  <si>
    <t>NIrV, Discoverer's Bible for Early Readers, Revised Edition</t>
  </si>
  <si>
    <t>Streams in the Desert for Kids</t>
  </si>
  <si>
    <t>366 Devotions to Bring Comfort</t>
  </si>
  <si>
    <t>Who Made God?</t>
  </si>
  <si>
    <t>And Other Things We Wonder About</t>
  </si>
  <si>
    <t>JUVENILE NONFICTION / Religion / Christianity</t>
  </si>
  <si>
    <t>Larry Libby</t>
  </si>
  <si>
    <t>Gifted Hands, Kids Edition: The Ben Carson Story</t>
  </si>
  <si>
    <t>JUVENILE NONFICTION / Biography &amp; Autobiography / Science &amp; Technology</t>
  </si>
  <si>
    <t>Gregg Lewis-Deborah Shaw Lewis</t>
  </si>
  <si>
    <t>Smoke Screen</t>
  </si>
  <si>
    <t>JUVENILE FICTION / Religious / Christian / Mysteries &amp; Detective Stories</t>
  </si>
  <si>
    <t>Kristi Holl</t>
  </si>
  <si>
    <t>Faithgirlz / Boarding School Mysteries</t>
  </si>
  <si>
    <t>Prophet With Honor, Kids Edition: The Billy Graham Story</t>
  </si>
  <si>
    <t>William C. Martin</t>
  </si>
  <si>
    <t>KJV, The Beginner's Bible Holy Bible</t>
  </si>
  <si>
    <t>BIBLES / King James Version / Children</t>
  </si>
  <si>
    <t>The Long Ride Home</t>
  </si>
  <si>
    <t>JUVENILE NONFICTION / Family / Orphans &amp; Foster Homes</t>
  </si>
  <si>
    <t>Marsha Hubler</t>
  </si>
  <si>
    <t>Keystone Stables</t>
  </si>
  <si>
    <t>NIV, Fruit of the Spirit Bible</t>
  </si>
  <si>
    <t>BIBLES / New International Version / Text</t>
  </si>
  <si>
    <t>Andi Unstoppable</t>
  </si>
  <si>
    <t>JUVENILE FICTION / School &amp; Education</t>
  </si>
  <si>
    <t>Amanda Flower</t>
  </si>
  <si>
    <t>An Andi Boggs Novel</t>
  </si>
  <si>
    <t>Just Jazz</t>
  </si>
  <si>
    <t>Gifted Hands, Revised Kids Edition</t>
  </si>
  <si>
    <t>The Ben Carson Story</t>
  </si>
  <si>
    <t>NIrV, Adventure Bible for Early Readers</t>
  </si>
  <si>
    <t>Zondervan-Lawrence O. Richards</t>
  </si>
  <si>
    <t>The Beginner's Bible for Little Ones</t>
  </si>
  <si>
    <t>The Case for Grace for Kids</t>
  </si>
  <si>
    <t>Lee Strobel-Robert Suggs</t>
  </si>
  <si>
    <t>Case for Miracles for Kids</t>
  </si>
  <si>
    <t>Lee Strobel-Jesse Florea</t>
  </si>
  <si>
    <t>NIrV, The Books of the Bible for Kids: The Writings</t>
  </si>
  <si>
    <t>Learn From Stories, Poetry, and Songs</t>
  </si>
  <si>
    <t>This Is the Day!</t>
  </si>
  <si>
    <t>JUVENILE FICTION / Religious / Christian / People &amp; Places</t>
  </si>
  <si>
    <t>Nancy White Carlstrom</t>
  </si>
  <si>
    <t>Perfectly Unique</t>
  </si>
  <si>
    <t>Love Yourself Completely, Just As You Are</t>
  </si>
  <si>
    <t>Lucy Out of Bounds</t>
  </si>
  <si>
    <t>Faithgirlz / A Lucy Novel</t>
  </si>
  <si>
    <t>NIrV, The Books of the Bible for Kids: New Testament</t>
  </si>
  <si>
    <t>Read the Story of Jesus, His Church, and His Return</t>
  </si>
  <si>
    <t>NIrV, Holy Bible</t>
  </si>
  <si>
    <t>BIBLES / New International Reader's Version / Text</t>
  </si>
  <si>
    <t>Solo Act</t>
  </si>
  <si>
    <t>Cheryl Crouch-G Studios</t>
  </si>
  <si>
    <t>Chosen Girls</t>
  </si>
  <si>
    <t>Hidden in Plain Sight</t>
  </si>
  <si>
    <t>2:52 / Mysteries of Eckert House</t>
  </si>
  <si>
    <t>Case for a Creator for Kids</t>
  </si>
  <si>
    <t>The Story of Jesus: Teen Edition</t>
  </si>
  <si>
    <t>BIBLES / New International Version / New Testament &amp; Portions</t>
  </si>
  <si>
    <t>Grace Notes</t>
  </si>
  <si>
    <t>Made to Crave for Young Women</t>
  </si>
  <si>
    <t>Satisfying Your Deepest Desires with God</t>
  </si>
  <si>
    <t xml:space="preserve">YOUNG ADULT NONFICTION / Social Topics / Peer Pressure </t>
  </si>
  <si>
    <t>Lysa TerKeurst-Shaunti Feldhahn</t>
  </si>
  <si>
    <t>Fading Tracks</t>
  </si>
  <si>
    <t>Secrets for Sale</t>
  </si>
  <si>
    <t>Letters to God</t>
  </si>
  <si>
    <t>Patrick Doughtie-Heather Doughtie</t>
  </si>
  <si>
    <t>The Prodigal Son</t>
  </si>
  <si>
    <t>I Can Read! / Bible Stories</t>
  </si>
  <si>
    <t>Chick Chat</t>
  </si>
  <si>
    <t>90-Day Devotional</t>
  </si>
  <si>
    <t>Kristi Holl-Jennifer Vogtlin</t>
  </si>
  <si>
    <t>NIrV, The Kid's Devotional Bible</t>
  </si>
  <si>
    <t>Lucy Doesn't Wear Pink</t>
  </si>
  <si>
    <t>NIrV, Kids' Quest Study Bible</t>
  </si>
  <si>
    <t>Answers to Over 500 Questions About the Bible</t>
  </si>
  <si>
    <t>BIBLES / New International Reader's Version / Study</t>
  </si>
  <si>
    <t>Storm</t>
  </si>
  <si>
    <t>A Novel</t>
  </si>
  <si>
    <t>JUVENILE FICTION / Sports &amp; Recreation / Water Sports</t>
  </si>
  <si>
    <t>Rick Bundschuh</t>
  </si>
  <si>
    <t>Faithgirlz / Soul Surfer</t>
  </si>
  <si>
    <t>Case for Christ for Kids</t>
  </si>
  <si>
    <t>Game Changer</t>
  </si>
  <si>
    <t>JUVENILE NONFICTION / Sports &amp; Recreation / Football</t>
  </si>
  <si>
    <t>Kirk Cousins</t>
  </si>
  <si>
    <t>Thank You, God, for Rain</t>
  </si>
  <si>
    <t>I Can Read! / Desert Critters Series</t>
  </si>
  <si>
    <t>NIV, Youth Quest Study Bible</t>
  </si>
  <si>
    <t>The Question and Answer Bible</t>
  </si>
  <si>
    <t>Various Authors</t>
  </si>
  <si>
    <t>Dear Nancy</t>
  </si>
  <si>
    <t>Answers to Letters From Girls Like You</t>
  </si>
  <si>
    <t>JUVENILE NONFICTION / Religious / Christian / Biography &amp; Autobiography</t>
  </si>
  <si>
    <t>How to Make Friends and Monsters</t>
  </si>
  <si>
    <t>JUVENILE FICTION / Humorous Stories</t>
  </si>
  <si>
    <t>Ron Bates</t>
  </si>
  <si>
    <t>A Howard Boward Book</t>
  </si>
  <si>
    <t>Storm Warning</t>
  </si>
  <si>
    <t>The Beginner's Bible People of the Bible</t>
  </si>
  <si>
    <t>Speak Love</t>
  </si>
  <si>
    <t>Making Your Words Matter</t>
  </si>
  <si>
    <t>Real Girls of the Bible</t>
  </si>
  <si>
    <t>A 31-Day Devotional</t>
  </si>
  <si>
    <t>Pick Your Poison</t>
  </si>
  <si>
    <t>NIV, The Jesus Bible</t>
  </si>
  <si>
    <t>Discover Jesus in Every Book of the Bible</t>
  </si>
  <si>
    <t>NIrV, Study Bible for Kids</t>
  </si>
  <si>
    <t>Chew on This</t>
  </si>
  <si>
    <t>31 Biblical Devotions Into the Heart of Christ</t>
  </si>
  <si>
    <t>Dave Ambrose</t>
  </si>
  <si>
    <t>Still More Middle School Talksheets</t>
  </si>
  <si>
    <t>More Junior High and Middle School Talksheets-Updated!</t>
  </si>
  <si>
    <t>50 More Creative Discussions for Junior High Youth Groups</t>
  </si>
  <si>
    <t>Read This Book or You're Grounded!</t>
  </si>
  <si>
    <t>A Secret Guide to Surviving at Home</t>
  </si>
  <si>
    <t>Wayne Rice</t>
  </si>
  <si>
    <t>Barack Obama</t>
  </si>
  <si>
    <t>An American Story</t>
  </si>
  <si>
    <t xml:space="preserve">YOUNG ADULT NONFICTION / History / United States / 21st Century </t>
  </si>
  <si>
    <t>Bob Carlton-Ariele Gentiles</t>
  </si>
  <si>
    <t>Junior High and Middle School Talksheets Psalms and Proverbs-Updated!</t>
  </si>
  <si>
    <t>50 Creative Discussions for Junior High Youth Groups</t>
  </si>
  <si>
    <t>Rick Bundschuh-Tom Finley</t>
  </si>
  <si>
    <t>Great Talk Outlines for Youth Ministry 2</t>
  </si>
  <si>
    <t>40 More Field-Tested Guides From Experienced Speakers</t>
  </si>
  <si>
    <t>Mark Oestreicher</t>
  </si>
  <si>
    <t>Leave a Footprint - Change The Whole World</t>
  </si>
  <si>
    <t>Tim Baker</t>
  </si>
  <si>
    <t>Middle School Ministry</t>
  </si>
  <si>
    <t>A Comprehensive Guide to Working with Early Adolescents</t>
  </si>
  <si>
    <t>Mark Oestreicher-Scott Rubin</t>
  </si>
  <si>
    <t>Duplicate This!</t>
  </si>
  <si>
    <t>Showing Your Friends How to Live Like Jesus</t>
  </si>
  <si>
    <t>Andy Braner</t>
  </si>
  <si>
    <t>I AM Standing Up</t>
  </si>
  <si>
    <t>True Confessions of a Total Freak of Nature</t>
  </si>
  <si>
    <t>Luke Lang</t>
  </si>
  <si>
    <t>Great Talk Outlines for Youth Ministry</t>
  </si>
  <si>
    <t>40 Field-Tested Guides From Experienced Speakers</t>
  </si>
  <si>
    <t>Sex Has a Price Tag</t>
  </si>
  <si>
    <t>Discussions About Sexuality, Spirituality, and Self Respect</t>
  </si>
  <si>
    <t>Pam Stenzel-Crystal Kirgiss</t>
  </si>
  <si>
    <t>Living with Questions</t>
  </si>
  <si>
    <t>Dale Fincher</t>
  </si>
  <si>
    <t>What's Up with Boys?</t>
  </si>
  <si>
    <t>Everything You Need to Know About Guys</t>
  </si>
  <si>
    <t xml:space="preserve">YOUNG ADULT NONFICTION / Religious / Christian / Dating </t>
  </si>
  <si>
    <t>Crystal Kirgiss</t>
  </si>
  <si>
    <t>Mirror, Mirror</t>
  </si>
  <si>
    <t>Reflections on Who You Are and Who You'll Become</t>
  </si>
  <si>
    <t>Kara Powell-Kendall Payne</t>
  </si>
  <si>
    <t>Secret Survivors</t>
  </si>
  <si>
    <t>Real-Life Stories to Give You Hope for Healing</t>
  </si>
  <si>
    <t>Jen Howver-Megan Hutchinson</t>
  </si>
  <si>
    <t>High School Talksheets Psalms and Proverbs-Updated!</t>
  </si>
  <si>
    <t>Confessions of a Not-So-Supermodel</t>
  </si>
  <si>
    <t>Faith, Friends, and Festival Queens</t>
  </si>
  <si>
    <t>Brooklyn E. Lindsey</t>
  </si>
  <si>
    <t>Fault Lines</t>
  </si>
  <si>
    <t>Step Up</t>
  </si>
  <si>
    <t>Becoming the Leader God Made You to Be</t>
  </si>
  <si>
    <t xml:space="preserve">YOUNG ADULT NONFICTION / Social Topics / Values &amp; Virtues </t>
  </si>
  <si>
    <t>Denise VanEck</t>
  </si>
  <si>
    <t>What Does God Want From Me?</t>
  </si>
  <si>
    <t>Junior High and Middle School Talksheets-Updated!</t>
  </si>
  <si>
    <t>Angels All Around (Threshold Series Prequel)</t>
  </si>
  <si>
    <t>PZ7.K56584</t>
  </si>
  <si>
    <t>Angels--Juvenile fiction.,Children's stories.,Christian life--Juvenile fiction.,Demonology--Juvenile fiction.,Families--Juvenile fiction.</t>
  </si>
  <si>
    <t>Christa J. Kinde</t>
  </si>
  <si>
    <t>Threshold Series</t>
  </si>
  <si>
    <t>LarryBoy in the Attack of Outback Jack / VeggieTales</t>
  </si>
  <si>
    <t>Big Idea Books / LarryBoy</t>
  </si>
  <si>
    <t>Step Into the Bible</t>
  </si>
  <si>
    <t>100 Family Devotions to Help Grow Your Childâ€™s Faith</t>
  </si>
  <si>
    <t>Ruth Graham</t>
  </si>
  <si>
    <t>Happy Birthday Barnabas</t>
  </si>
  <si>
    <t>Royden Lepp</t>
  </si>
  <si>
    <t>I Can Read! / Barnabas Series</t>
  </si>
  <si>
    <t>Never Blame the Umpire</t>
  </si>
  <si>
    <t>JUVENILE FICTION / Sports &amp; Recreation / Baseball &amp; Softball</t>
  </si>
  <si>
    <t>Gene Fehler</t>
  </si>
  <si>
    <t>Finding Cabin Six</t>
  </si>
  <si>
    <t>Missy Robertson-Mia Robertson-Jill Osborne</t>
  </si>
  <si>
    <t>Faithgirlz / Princess in Camo</t>
  </si>
  <si>
    <t>Jesus Feeds the Five Thousand</t>
  </si>
  <si>
    <t>London Art Chase</t>
  </si>
  <si>
    <t>Natalie Grant</t>
  </si>
  <si>
    <t>Faithgirlz / Glimmer Girls</t>
  </si>
  <si>
    <t>Little David and His Best Friend</t>
  </si>
  <si>
    <t>I Can Read! / Little David Series</t>
  </si>
  <si>
    <t>Otter and Owl Set Sail</t>
  </si>
  <si>
    <t>I Can Read! / Otter and Owl Series</t>
  </si>
  <si>
    <t>The Boarding School Mysteries Collection</t>
  </si>
  <si>
    <t>Big Break</t>
  </si>
  <si>
    <t>Fiona the Hippo I Can Read Collection 1</t>
  </si>
  <si>
    <t>A Horse Named Bob</t>
  </si>
  <si>
    <t>I Can Read! / A Horse Named Bob</t>
  </si>
  <si>
    <t>Grace, Gold, and Glory My Leap of Faith</t>
  </si>
  <si>
    <t>YOUNG ADULT NONFICTION / People &amp; Places / United States / African American &amp; Black</t>
  </si>
  <si>
    <t>Gabrielle Douglas-Michelle Burford</t>
  </si>
  <si>
    <t>Ansley's Big Bake Off</t>
  </si>
  <si>
    <t>JUVENILE FICTION / Cooking &amp; Food</t>
  </si>
  <si>
    <t>Kaitlyn Pitts-Camryn Pitts-Olivia Pitts</t>
  </si>
  <si>
    <t>Faithgirlz / The Daniels Sisters</t>
  </si>
  <si>
    <t>Best Party Book Ever!</t>
  </si>
  <si>
    <t>From Invites to Overnights and Everything in Between</t>
  </si>
  <si>
    <t>JUVENILE NONFICTION / Games &amp; Activities / General</t>
  </si>
  <si>
    <t>Editors of Faithgirlz! and Girls' Life Mag</t>
  </si>
  <si>
    <t>A Dolphin Wish</t>
  </si>
  <si>
    <t>The Circle Maker Student Edition</t>
  </si>
  <si>
    <t>Dream Big. Pray Hard. Think Long.</t>
  </si>
  <si>
    <t>The Ether</t>
  </si>
  <si>
    <t>Vero Rising</t>
  </si>
  <si>
    <t>Laurice Elehwany Molinari</t>
  </si>
  <si>
    <t>An Ether Novel</t>
  </si>
  <si>
    <t>Dog Show Disaster</t>
  </si>
  <si>
    <t>Colin Powell</t>
  </si>
  <si>
    <t>JUVENILE NONFICTION / Biography &amp; Autobiography / Political</t>
  </si>
  <si>
    <t>Today's Heroes</t>
  </si>
  <si>
    <t>Your Spark Activity Kit</t>
  </si>
  <si>
    <t>PZ7.1.L458</t>
  </si>
  <si>
    <t>Children's stories.,Christian life--Juvenile fiction.,Individuality--Juvenile fiction.</t>
  </si>
  <si>
    <t>NKJV, Adventure Bible</t>
  </si>
  <si>
    <t>BIBLES / New King James Version / Children</t>
  </si>
  <si>
    <t>Brilliant Hues</t>
  </si>
  <si>
    <t>Naomi Kinsman</t>
  </si>
  <si>
    <t>Faithgirlz / From Sadie's Sketchbook</t>
  </si>
  <si>
    <t>Whatever Is Lovely</t>
  </si>
  <si>
    <t>A 90-Day Devotional Journal</t>
  </si>
  <si>
    <t>Pillars of Fire</t>
  </si>
  <si>
    <t>The Captive Maiden</t>
  </si>
  <si>
    <t xml:space="preserve">YOUNG ADULT FICTION / Religious / Christian / Historical </t>
  </si>
  <si>
    <t>Fairy Tale Romance Series</t>
  </si>
  <si>
    <t>Nighty Night and Good Night</t>
  </si>
  <si>
    <t>Get Me to the Ark on Time</t>
  </si>
  <si>
    <t>Cuyler Black</t>
  </si>
  <si>
    <t>NIrV, Precious Princess Bible</t>
  </si>
  <si>
    <t>God Bless Me</t>
  </si>
  <si>
    <t>Helen C. Haidle</t>
  </si>
  <si>
    <t>Angels: A 90-Day Devotional About God's Messengers</t>
  </si>
  <si>
    <t>NIrV, Faithgirlz! Bible, Revised Edition</t>
  </si>
  <si>
    <t>Adventure Bible Book of Devotions, NIV</t>
  </si>
  <si>
    <t>365 Days of Adventure</t>
  </si>
  <si>
    <t>NIrV, Minecrafters Bible</t>
  </si>
  <si>
    <t>Speed to Glory</t>
  </si>
  <si>
    <t>The Cullen Jones Story</t>
  </si>
  <si>
    <t>Wrestling with Tom Sawyer</t>
  </si>
  <si>
    <t>L. L. Samson</t>
  </si>
  <si>
    <t>The Enchanted Attic</t>
  </si>
  <si>
    <t>The Beginner's Bible Heroes of the Bible Collection</t>
  </si>
  <si>
    <t>101 Things Every Girl Should Know</t>
  </si>
  <si>
    <t>Expert Advice on Stuff Big and Small</t>
  </si>
  <si>
    <t>JUVENILE NONFICTION / Girls &amp; Women</t>
  </si>
  <si>
    <t>From the Editors of Faithgirlz!</t>
  </si>
  <si>
    <t>Bible Gems to Remember Devotions for Kids</t>
  </si>
  <si>
    <t>52 Devotions with Easy Bible Memory in 5 Words or Less</t>
  </si>
  <si>
    <t>What Do I See?</t>
  </si>
  <si>
    <t>Biblical Values, Level 1</t>
  </si>
  <si>
    <t>Project: Raising Faith</t>
  </si>
  <si>
    <t>Faithgirlz / Girls of 622 Harbor View</t>
  </si>
  <si>
    <t>The Dragon's Descent</t>
  </si>
  <si>
    <t>God's Little Lambs Bible Stories</t>
  </si>
  <si>
    <t>Julie Stiegemeyer</t>
  </si>
  <si>
    <t>Church Summer Cramp</t>
  </si>
  <si>
    <t>Mike Thaler</t>
  </si>
  <si>
    <t>Tales From the Back Pew</t>
  </si>
  <si>
    <t>My Beautiful Daughter</t>
  </si>
  <si>
    <t>What It Means to Be Loved by God</t>
  </si>
  <si>
    <t>Tasha K Douglas</t>
  </si>
  <si>
    <t>Mission Trip Impossible</t>
  </si>
  <si>
    <t>Adventure Bible Storybook</t>
  </si>
  <si>
    <t>The Case for Christ Young Reader's Edition</t>
  </si>
  <si>
    <t>Investigating the Toughest Questions About Jesus</t>
  </si>
  <si>
    <t>17 Christmases</t>
  </si>
  <si>
    <t>Summer of the Wolves</t>
  </si>
  <si>
    <t>JUVENILE FICTION / Action &amp; Adventure / General</t>
  </si>
  <si>
    <t>Lisa Williams Kline</t>
  </si>
  <si>
    <t>Sisters in All Seasons</t>
  </si>
  <si>
    <t>Defender of Faith, Revised Edition</t>
  </si>
  <si>
    <t>The Mike Fisher Story</t>
  </si>
  <si>
    <t>Otter and Owl Say I'm Sorry</t>
  </si>
  <si>
    <t>Secret Admirer</t>
  </si>
  <si>
    <t>Grace Under Pressure</t>
  </si>
  <si>
    <t>Grandpa Grumpy's Family</t>
  </si>
  <si>
    <t>Katherine Pebley O'Neal</t>
  </si>
  <si>
    <t>Freddie's Fast-Cash Getaway</t>
  </si>
  <si>
    <t>The Parable of the Prodigal Son</t>
  </si>
  <si>
    <t>Bill Myers</t>
  </si>
  <si>
    <t>The Bug Parables</t>
  </si>
  <si>
    <t>The Legend of the Easter Egg</t>
  </si>
  <si>
    <t>Lori Walburg</t>
  </si>
  <si>
    <t>Preacher Creature Strikes on Sunday</t>
  </si>
  <si>
    <t>Mud Pie Annie</t>
  </si>
  <si>
    <t>God's Recipe for Doing Your Best, Level 1</t>
  </si>
  <si>
    <t>Sue Buchanan-Dana Shafer</t>
  </si>
  <si>
    <t>Sophie's World</t>
  </si>
  <si>
    <t>Faithgirlz!/Sophie Series</t>
  </si>
  <si>
    <t>Snap Decision</t>
  </si>
  <si>
    <t>Nathan Whitaker</t>
  </si>
  <si>
    <t>Game Face</t>
  </si>
  <si>
    <t>Devotions to Make You Stronger</t>
  </si>
  <si>
    <t>Ed Strauss</t>
  </si>
  <si>
    <t>Jackson Jones, Book 1</t>
  </si>
  <si>
    <t>The Tale of a Boy, an Elf, and a Very Stinky Fish</t>
  </si>
  <si>
    <t>Jennifer L. Kelly</t>
  </si>
  <si>
    <t>Ask Bethany, Updated Edition</t>
  </si>
  <si>
    <t>JUVENILE NONFICTION / Sports &amp; Recreation / Water Sports</t>
  </si>
  <si>
    <t>Bethany Hamilton-Doris Wynbeek Rikkers</t>
  </si>
  <si>
    <t>Spiders, Snakes, Bees, and Bats</t>
  </si>
  <si>
    <t>I Can Read! / Made By God</t>
  </si>
  <si>
    <t>Sophie Flakes Out</t>
  </si>
  <si>
    <t>Jake Helps Out</t>
  </si>
  <si>
    <t>Biblical Values, Level 2</t>
  </si>
  <si>
    <t>Jake Series</t>
  </si>
  <si>
    <t>NIV, Kids' Visual Study Bible, Full Color Interior</t>
  </si>
  <si>
    <t>Explore the Story of the Bible---People, Places, and History</t>
  </si>
  <si>
    <t>Project: Run Away</t>
  </si>
  <si>
    <t>One Big Heart Educator's Guide</t>
  </si>
  <si>
    <t>PZ8.3.D2895</t>
  </si>
  <si>
    <t>Children's stories.,Cultural pluralism--Juvenile fiction.,Individuality--Juvenile fiction.,Schools--Juvenile fiction.,Stories in rhyme.</t>
  </si>
  <si>
    <t>Walking the Plank to the Baptism Tank</t>
  </si>
  <si>
    <t>Big Bugs, Little Bugs</t>
  </si>
  <si>
    <t>Sophie's Friendship Fiasco</t>
  </si>
  <si>
    <t>Patriots, Redcoats and Spies</t>
  </si>
  <si>
    <t>JUVENILE FICTION / Historical / United States / Colonial &amp; Revolutionary Periods</t>
  </si>
  <si>
    <t>Robert J. Skead</t>
  </si>
  <si>
    <t>American Revolutionary War Adventures</t>
  </si>
  <si>
    <t>Split Decision</t>
  </si>
  <si>
    <t>JUVENILE FICTION / Religious / Christian / Sports &amp; Recreation</t>
  </si>
  <si>
    <t>Todd Hafer</t>
  </si>
  <si>
    <t>The Spirit of the Game, Sports Fiction</t>
  </si>
  <si>
    <t>The Nineteenth of Maquerk</t>
  </si>
  <si>
    <t>Based on Proverbs 13:4</t>
  </si>
  <si>
    <t>Aaron Reynolds</t>
  </si>
  <si>
    <t>The Insect-Inside Series</t>
  </si>
  <si>
    <t>The Circle Maker Devotions for Kids</t>
  </si>
  <si>
    <t>100 Daily Readings</t>
  </si>
  <si>
    <t>Defending the Line</t>
  </si>
  <si>
    <t>The David Luiz Story</t>
  </si>
  <si>
    <t>Alex Carpenter</t>
  </si>
  <si>
    <t>Toward the Goal, Revised Edition</t>
  </si>
  <si>
    <t>The KakÃ¡ Story</t>
  </si>
  <si>
    <t>Jeremy V. Jones</t>
  </si>
  <si>
    <t>What's a Girl to Do?</t>
  </si>
  <si>
    <t>Andi Unexpected</t>
  </si>
  <si>
    <t>Poisonous, Smelly, and Amazing Plants</t>
  </si>
  <si>
    <t>Just Like You</t>
  </si>
  <si>
    <t>Beautiful Babies Around the World</t>
  </si>
  <si>
    <t>Marla Stewart Konrad</t>
  </si>
  <si>
    <t>That Is SO Me: 365 Days of Devotions</t>
  </si>
  <si>
    <t>Flip-Flops, Faith, and Friends</t>
  </si>
  <si>
    <t>Gift of Peace, Revised Edition</t>
  </si>
  <si>
    <t>The Jimmy Carter Story</t>
  </si>
  <si>
    <t>JUVENILE NONFICTION / Biography &amp; Autobiography / Presidents &amp; First Families (U.S.)</t>
  </si>
  <si>
    <t>Elizabeth Raum</t>
  </si>
  <si>
    <t>The Berenstain Bears and the Rowdy Crowd</t>
  </si>
  <si>
    <t>An Early Reader Chapter Book</t>
  </si>
  <si>
    <t>Food, Faith and Fun</t>
  </si>
  <si>
    <t>A Faithgirlz! Cookbook</t>
  </si>
  <si>
    <t>Submarines, Secrets and a Daring Rescue</t>
  </si>
  <si>
    <t>Robert J. Skead-Robert A. Skead</t>
  </si>
  <si>
    <t>Howie Wants to Play</t>
  </si>
  <si>
    <t>Sara Henderson</t>
  </si>
  <si>
    <t>I Can Read! / Howie Series</t>
  </si>
  <si>
    <t>The Sadie Sketchbook Collection</t>
  </si>
  <si>
    <t>Lots of Tongue Twisters for Kids</t>
  </si>
  <si>
    <t>JUVENILE NONFICTION / Humor / Jokes &amp; Riddles</t>
  </si>
  <si>
    <t>Whee Winn</t>
  </si>
  <si>
    <t>Arcade and the Golden Travel Guide</t>
  </si>
  <si>
    <t>Rashad Jennings</t>
  </si>
  <si>
    <t>The Coin Slot Chronicles</t>
  </si>
  <si>
    <t>Barnyard Critters</t>
  </si>
  <si>
    <t>Cake</t>
  </si>
  <si>
    <t>Love, Chickens, and a Taste of Peculiar</t>
  </si>
  <si>
    <t>JUVENILE FICTION / Family / Orphans &amp; Foster Homes</t>
  </si>
  <si>
    <t>Joyce Magnin</t>
  </si>
  <si>
    <t>Lots of Jokes for Kids</t>
  </si>
  <si>
    <t>Hector Borlasca</t>
  </si>
  <si>
    <t>I Can Read! / Song Series</t>
  </si>
  <si>
    <t>Riley Mae and the Ready Eddy Rapids</t>
  </si>
  <si>
    <t>Jill Osborne</t>
  </si>
  <si>
    <t>Faithgirlz / The Good News Shoes</t>
  </si>
  <si>
    <t>Andi Under Pressure</t>
  </si>
  <si>
    <t>Betrayed</t>
  </si>
  <si>
    <t>NIV Adventure Bible Book of Devotions: Polar Exploration Edition</t>
  </si>
  <si>
    <t>Otter and Owl and the Big Ah-choo!</t>
  </si>
  <si>
    <t>With All Your Heart</t>
  </si>
  <si>
    <t>Devotions for Girls</t>
  </si>
  <si>
    <t>The Berenstain Bears Storybook Bible for Little Ones</t>
  </si>
  <si>
    <t>Clap Your Hands Educator's Guide</t>
  </si>
  <si>
    <t>ML3187</t>
  </si>
  <si>
    <t>African Americans--Music--Study and teaching--Juvenile literature.,Gospel music--Study and teaching--Juvenile literature.</t>
  </si>
  <si>
    <t>Candy Bombers</t>
  </si>
  <si>
    <t>Robert Elmer</t>
  </si>
  <si>
    <t>The Wall</t>
  </si>
  <si>
    <t>Project: Mystery Bus</t>
  </si>
  <si>
    <t>Project: Rescue Chelsea</t>
  </si>
  <si>
    <t>Reality Tour</t>
  </si>
  <si>
    <t>Riley Mae and the Rock Shocker Trek</t>
  </si>
  <si>
    <t>Hello Stars</t>
  </si>
  <si>
    <t>JUVENILE FICTION / Performing Arts / Film</t>
  </si>
  <si>
    <t>Alena Pitts-Wynter Pitts</t>
  </si>
  <si>
    <t>Faithgirlz / Lena in the Spotlight</t>
  </si>
  <si>
    <t>How to Draw Big Bad Bible Beasts</t>
  </si>
  <si>
    <t>JUVENILE NONFICTION / Art / Drawing</t>
  </si>
  <si>
    <t>NIV, Young Women of Faith Bible</t>
  </si>
  <si>
    <t>NIrV, The Holy Bible for ESL Readers</t>
  </si>
  <si>
    <t>Unplugged</t>
  </si>
  <si>
    <t>Girlz Rock</t>
  </si>
  <si>
    <t>Marta and the Manger Straw</t>
  </si>
  <si>
    <t>A Christmas Tradition From Poland</t>
  </si>
  <si>
    <t>Virginia Kroll</t>
  </si>
  <si>
    <t>Traditions of Faith From Around the World</t>
  </si>
  <si>
    <t>Project: Girl Power</t>
  </si>
  <si>
    <t>Sunrise Hill</t>
  </si>
  <si>
    <t>An Easter Story of Faith, Inspiration, and Courage</t>
  </si>
  <si>
    <t>Kathleen Long Bostrom</t>
  </si>
  <si>
    <t>Leading the Way</t>
  </si>
  <si>
    <t>JUVENILE FICTION / Animals / Horses</t>
  </si>
  <si>
    <t>Summer Camp Adventure</t>
  </si>
  <si>
    <t>5-Minute Devotions for Girls</t>
  </si>
  <si>
    <t>Featuring 180 Daily Devotions</t>
  </si>
  <si>
    <t>Sea Creatures</t>
  </si>
  <si>
    <t>NIV, The Plans I Have for You Holy Bible</t>
  </si>
  <si>
    <t>Lots of Animal Jokes for Kids</t>
  </si>
  <si>
    <t>Sheerluck Holmes and the Hounds of Baker Street</t>
  </si>
  <si>
    <t>Jake's Brave Night</t>
  </si>
  <si>
    <t>I Can Read! / The Jake Series</t>
  </si>
  <si>
    <t>NIrV, May the Faith Be with You Holy Bible</t>
  </si>
  <si>
    <t>Sophie's Secret</t>
  </si>
  <si>
    <t>Blue Autumn Cruise</t>
  </si>
  <si>
    <t>Waiting for Christmas</t>
  </si>
  <si>
    <t>A Story About the Advent Calendar</t>
  </si>
  <si>
    <t>God Loves You Very Much / VeggieTales</t>
  </si>
  <si>
    <t>Cindy Kenney</t>
  </si>
  <si>
    <t>Saint Francis and the Nativity</t>
  </si>
  <si>
    <t>Myrna A. Strasser</t>
  </si>
  <si>
    <t>The Mess Detectives: The Slobfather</t>
  </si>
  <si>
    <t>NIrV, Beginner's Bible Holy Bible</t>
  </si>
  <si>
    <t>NIrV, The VeggieTales Bible</t>
  </si>
  <si>
    <t>Flickering Hope</t>
  </si>
  <si>
    <t>That's Not Hay in My Hair</t>
  </si>
  <si>
    <t>In the Big Inningâ€¦ Bible Riddles From the Back Pew</t>
  </si>
  <si>
    <t>Jake Plays Ball</t>
  </si>
  <si>
    <t>Season of Change</t>
  </si>
  <si>
    <t>The Beginner's Bible Stories About Jesus</t>
  </si>
  <si>
    <t>NIV, Children's Bible</t>
  </si>
  <si>
    <t>Copyright 2011</t>
  </si>
  <si>
    <t>My Baby Sister Is a Preemie</t>
  </si>
  <si>
    <t>Diana M. Amadeo</t>
  </si>
  <si>
    <t>Helping Kids Heal</t>
  </si>
  <si>
    <t>Darkness Shall Fall</t>
  </si>
  <si>
    <t>The Aedyn Chronicles</t>
  </si>
  <si>
    <t>NIrV, The Story for Children Bible</t>
  </si>
  <si>
    <t>Max Lucado-Randy Frazee-Karen Davis Hill</t>
  </si>
  <si>
    <t>Samantha Sanderson Without a Trace</t>
  </si>
  <si>
    <t>Robin Caroll</t>
  </si>
  <si>
    <t>FaithGirlz / Samantha Sanderson</t>
  </si>
  <si>
    <t>Goal-Line Stand</t>
  </si>
  <si>
    <t>Facing the Hunchback of Notre Dame</t>
  </si>
  <si>
    <t>The Adventure Bible Book of Daring Deeds and Epic Creations</t>
  </si>
  <si>
    <t>60 Ultimate Try-something-new, Explore-the-world Activities</t>
  </si>
  <si>
    <t>The Last Martin</t>
  </si>
  <si>
    <t>JUVENILE FICTION / Social Themes / Adolescence &amp; Coming of Age</t>
  </si>
  <si>
    <t>Jonathan Friesen</t>
  </si>
  <si>
    <t>Space and Time</t>
  </si>
  <si>
    <t>Michael Carroll-Caroline Carroll</t>
  </si>
  <si>
    <t>God's Creation Series</t>
  </si>
  <si>
    <t>30 Days of Goodness, Love, and Grace</t>
  </si>
  <si>
    <t>A Faithgirlz Bible Study</t>
  </si>
  <si>
    <t>Little David Sings for the King</t>
  </si>
  <si>
    <t>Glimmer and Shine</t>
  </si>
  <si>
    <t>365 Devotions to Inspire</t>
  </si>
  <si>
    <t>The Loud Family</t>
  </si>
  <si>
    <t>Peas and Thank You! / VeggieTales</t>
  </si>
  <si>
    <t>Mike Nawrocki</t>
  </si>
  <si>
    <t>My Father's Angels</t>
  </si>
  <si>
    <t>Gloria Gaither</t>
  </si>
  <si>
    <t>Joshua Crosses the Jordan River</t>
  </si>
  <si>
    <t>NIV, Adventure Bible, Polar Exploration Edition, Full Color</t>
  </si>
  <si>
    <t>NIrV Adventure Bible Book of Devotions for Early Readers: Polar Exploration Edition</t>
  </si>
  <si>
    <t>Troo's Big Climb</t>
  </si>
  <si>
    <t>Cheryl Crouch</t>
  </si>
  <si>
    <t>I Can Read! / Rainforest Friends</t>
  </si>
  <si>
    <t>Picture That!</t>
  </si>
  <si>
    <t>Bible Storybook</t>
  </si>
  <si>
    <t>Bob's Great Escape</t>
  </si>
  <si>
    <t>Sky and Sea</t>
  </si>
  <si>
    <t>Amberâ€™s Song</t>
  </si>
  <si>
    <t>LarryBoy, Versus the Volcano</t>
  </si>
  <si>
    <t>Backstage Pass</t>
  </si>
  <si>
    <t>The Mess Detectives: The Couch Potato Caper</t>
  </si>
  <si>
    <t>How to Survive Middle School and Monster Bots</t>
  </si>
  <si>
    <t>NIrV, The Story for Kids</t>
  </si>
  <si>
    <t>Discover the Bible From Beginning to End</t>
  </si>
  <si>
    <t>101 Ways to Have Fun</t>
  </si>
  <si>
    <t>Things You Can Do with Friends, Anytime!</t>
  </si>
  <si>
    <t>JUVENILE NONFICTION / Religious / Christian / Games &amp; Activities</t>
  </si>
  <si>
    <t>Double Trouble</t>
  </si>
  <si>
    <t>Tiny Baby Jesus</t>
  </si>
  <si>
    <t>Whispering Hope</t>
  </si>
  <si>
    <t>LarryBoy and the Emperor of Envy</t>
  </si>
  <si>
    <t>Sean Gaffney</t>
  </si>
  <si>
    <t>The Best Breakfast</t>
  </si>
  <si>
    <t>Sophie and the New Girl</t>
  </si>
  <si>
    <t>Overload</t>
  </si>
  <si>
    <t>No Boys Allowed</t>
  </si>
  <si>
    <t>Michelle Medlock Adams-Jennifer Vogtlin</t>
  </si>
  <si>
    <t>NIrV, The Berenstain Bears Holy Bible</t>
  </si>
  <si>
    <t>Vacation Bible Snooze</t>
  </si>
  <si>
    <t>Arcade and the Fiery Metal Tester Educator's Guide</t>
  </si>
  <si>
    <t>PZ7.1.J4554</t>
  </si>
  <si>
    <t>African Americans--Juvenile fiction.,Children's stories.,Friendship--Juvenile fiction.,Magic--Juvenile fiction.,Siblings--Juvenile fiction.</t>
  </si>
  <si>
    <t>God Loves You Barnabas</t>
  </si>
  <si>
    <t>Poisoned</t>
  </si>
  <si>
    <t>Samantha Sanderson On the Scene</t>
  </si>
  <si>
    <t>Ashton's Dancing Dreams</t>
  </si>
  <si>
    <t>Ordinary Baby, Extraordinary Gift</t>
  </si>
  <si>
    <t>You Have a Brain</t>
  </si>
  <si>
    <t>A Teen's Guide to T.H.I.N.K. B.I.G.</t>
  </si>
  <si>
    <t xml:space="preserve">YOUNG ADULT NONFICTION / Social Topics / Self-Esteem &amp; Self-Reliance </t>
  </si>
  <si>
    <t>Ben Carson, M.D.</t>
  </si>
  <si>
    <t>Raising Faith</t>
  </si>
  <si>
    <t>The Beginner's Bible Book of Prayers</t>
  </si>
  <si>
    <t>NIV, Boys Bible</t>
  </si>
  <si>
    <t>Papa's Pastries</t>
  </si>
  <si>
    <t>Charles Toscano</t>
  </si>
  <si>
    <t>The Enemy Closes In</t>
  </si>
  <si>
    <t>Bill Myers-James Riordan</t>
  </si>
  <si>
    <t>The Elijah Project</t>
  </si>
  <si>
    <t>Winter's Tide</t>
  </si>
  <si>
    <t>Linspired, Kids Edition</t>
  </si>
  <si>
    <t>The Jeremy Lin Story</t>
  </si>
  <si>
    <t>Best Hair Book Ever!</t>
  </si>
  <si>
    <t>Cute Cuts, Sweet Styles and Tons of Tress Tips</t>
  </si>
  <si>
    <t>JUVENILE NONFICTION / Health &amp; Daily Living / Personal Hygiene</t>
  </si>
  <si>
    <t>Shades of Truth</t>
  </si>
  <si>
    <t>Three-Point Play</t>
  </si>
  <si>
    <t>The Super, Epic, Mega Joke Book for Kids</t>
  </si>
  <si>
    <t>Reaching New Heights</t>
  </si>
  <si>
    <t>The Kelly Clark Story</t>
  </si>
  <si>
    <t>Natalie Davis Miller</t>
  </si>
  <si>
    <t>Through My Eyes</t>
  </si>
  <si>
    <t>A Quarterback's Journey: Young Reader's Edition</t>
  </si>
  <si>
    <t>Tim Tebow</t>
  </si>
  <si>
    <t>Friends Forever: The Girls of Harbor View Collection</t>
  </si>
  <si>
    <t>8 Stories From Best-selling Author Melody Carlson</t>
  </si>
  <si>
    <t>Faithgirlz / Girls of Harbor View</t>
  </si>
  <si>
    <t>Not a Fan Student Edition</t>
  </si>
  <si>
    <t>What Does It Really Mean to Follow Jesus?</t>
  </si>
  <si>
    <t>Kyle Idleman</t>
  </si>
  <si>
    <t>Piper and Mabel Activity Kit</t>
  </si>
  <si>
    <t>JUVENILE FICTION / General</t>
  </si>
  <si>
    <t>PZ7.1.S4825</t>
  </si>
  <si>
    <t>Children's stories.,Dogs--Juvenile fiction.,Vacations--Juvenile fiction.</t>
  </si>
  <si>
    <t>Angels Watching Over Me</t>
  </si>
  <si>
    <t>Lynn Hodges-Sue Buchanan</t>
  </si>
  <si>
    <t>A Song of God's Love</t>
  </si>
  <si>
    <t>The Whole Guy Thing</t>
  </si>
  <si>
    <t>What Every Girl Needs to Know About Crushes, Friendship, Relating, and Dating</t>
  </si>
  <si>
    <t>JUVENILE NONFICTION / Social Topics / Dating &amp; Relationships</t>
  </si>
  <si>
    <t>Heart of a Champion</t>
  </si>
  <si>
    <t>The Dominique Dawes Story</t>
  </si>
  <si>
    <t>Redo Your Room</t>
  </si>
  <si>
    <t>50 Bedroom DIYs You Can Do in a Weekend</t>
  </si>
  <si>
    <t>JUVENILE NONFICTION / Crafts &amp; Hobbies</t>
  </si>
  <si>
    <t>Snug As a Bug</t>
  </si>
  <si>
    <t>Amy E. Imbody</t>
  </si>
  <si>
    <t>Polar Pals</t>
  </si>
  <si>
    <t>Devotions to Take You Deeper</t>
  </si>
  <si>
    <t>Upsetting Annie</t>
  </si>
  <si>
    <t>Riley Mae and the Sole Fire Safari</t>
  </si>
  <si>
    <t>JUVENILE FICTION / People &amp; Places / Africa</t>
  </si>
  <si>
    <t>NIrV, Seek and Explore Holy Bible</t>
  </si>
  <si>
    <t>Hunting for Godâ€™s Treasure</t>
  </si>
  <si>
    <t>Pugtato Finds a Thing Curriculum Guide</t>
  </si>
  <si>
    <t>PZ8.3.C818825</t>
  </si>
  <si>
    <t>Animals--Juvenile fiction.,Friendship--Juvenile fiction.,Vegetables--Juvenile fiction.</t>
  </si>
  <si>
    <t>NIV, Armor of God Bible</t>
  </si>
  <si>
    <t>Below the Surface</t>
  </si>
  <si>
    <t>Tim Shoemaker</t>
  </si>
  <si>
    <t>A Code of Silence Novel</t>
  </si>
  <si>
    <t>Sold Out</t>
  </si>
  <si>
    <t>Day Dreams and Movie Screens</t>
  </si>
  <si>
    <t>Every Which Way to Pray</t>
  </si>
  <si>
    <t>Joyce Meyer</t>
  </si>
  <si>
    <t>The 2:52 Ultimate Devo for Boys</t>
  </si>
  <si>
    <t>365 Devos to Make You Stronger, Smarter, Deeper, and Cooler</t>
  </si>
  <si>
    <t>The Bare Naked Truth</t>
  </si>
  <si>
    <t>Dating, Waiting, and Godâ€™s Purity Plan</t>
  </si>
  <si>
    <t>Bekah Hamrick Martin</t>
  </si>
  <si>
    <t>Anne of Green Gables and The Story Girl</t>
  </si>
  <si>
    <t>JUVENILE FICTION / Historical / Canada / Post-Confederation (1867-)</t>
  </si>
  <si>
    <t>L. M. Montgomery</t>
  </si>
  <si>
    <t>Little David's Brave Day</t>
  </si>
  <si>
    <t>Lots of Christmas Jokes for Kids</t>
  </si>
  <si>
    <t>Barnabas Helps a Friend</t>
  </si>
  <si>
    <t>Southern Belle's Special Gift</t>
  </si>
  <si>
    <t>The Berenstain Bears' Epic Dog Show</t>
  </si>
  <si>
    <t>Dueling with the Three Musketeers</t>
  </si>
  <si>
    <t>Lisa Samson</t>
  </si>
  <si>
    <t>BOZ and Friends</t>
  </si>
  <si>
    <t>BOZ Series</t>
  </si>
  <si>
    <t>Double-Booked</t>
  </si>
  <si>
    <t>Light Up New York</t>
  </si>
  <si>
    <t>Lintball Leo's Not-So-Stupid Questions About Your Body</t>
  </si>
  <si>
    <t>Walt Larimore, MD-John Riddle</t>
  </si>
  <si>
    <t>The Chamber of Lies</t>
  </si>
  <si>
    <t>Burned</t>
  </si>
  <si>
    <t>Rick Bundschuh-Bethany Hamilton</t>
  </si>
  <si>
    <t>Sophie's Drama</t>
  </si>
  <si>
    <t>If I Were a Mouse</t>
  </si>
  <si>
    <t>PS3623.I5854</t>
  </si>
  <si>
    <t>Children's poetry, American.,Christian poetry, American.</t>
  </si>
  <si>
    <t>Karma Wilson</t>
  </si>
  <si>
    <t>LarryBoy and the Yodelnapper</t>
  </si>
  <si>
    <t>Kent Redeker</t>
  </si>
  <si>
    <t>Samantha Sanderson Off the Record</t>
  </si>
  <si>
    <t>Fiona the Hippo Activity Kit</t>
  </si>
  <si>
    <t>JUVENILE FICTION / Activity Books / General</t>
  </si>
  <si>
    <t>QL737.U57</t>
  </si>
  <si>
    <t>Children's stories.,Hippopotamus--Ohio--Cincinnati--Juvenile literature.</t>
  </si>
  <si>
    <t>Sister for Sale</t>
  </si>
  <si>
    <t>Michelle Medlock Adams</t>
  </si>
  <si>
    <t>The Beginner's Bible Bible Story Favorites</t>
  </si>
  <si>
    <t>Candace Center Stage Activity Kit</t>
  </si>
  <si>
    <t>PZ7.1.C328</t>
  </si>
  <si>
    <t>Ballet dancers--Juvenile fiction.,Ballet--Juvenile fiction.,Children's stories.,Self-confidence--Juvenile fiction.</t>
  </si>
  <si>
    <t>The One and Only Wolfgang Activity Kit</t>
  </si>
  <si>
    <t>PZ7.1.G7418</t>
  </si>
  <si>
    <t>Children's stories.,Families--Juvenile fiction.,Pets--Juvenile fiction.,Toleration--Juvenile fiction.</t>
  </si>
  <si>
    <t>Trapped by Shadows</t>
  </si>
  <si>
    <t>Bible Freaks and Geeks</t>
  </si>
  <si>
    <t>JUVENILE NONFICTION / Religious / Christian / Comics &amp; Graphic Novels</t>
  </si>
  <si>
    <t>Vanished</t>
  </si>
  <si>
    <t>Case for Christ for Kids 90-Day Devotional</t>
  </si>
  <si>
    <t>A Plague of Unicorns</t>
  </si>
  <si>
    <t>Jane Yolen</t>
  </si>
  <si>
    <t>Stealing Home</t>
  </si>
  <si>
    <t>Big Bad Bible Giants</t>
  </si>
  <si>
    <t>Bible Knock-Knock Jokes From the Back Pew</t>
  </si>
  <si>
    <t>A Very Fiona Christmas Activity Kit</t>
  </si>
  <si>
    <t>PZ7.1.C685</t>
  </si>
  <si>
    <t>Animals--Infancy--Juvenile fiction.,Children's stories.,Hippopotamus--Juvenile fiction.,Zoo animals--Juvenile fiction.</t>
  </si>
  <si>
    <t>Finding God in Tough Times</t>
  </si>
  <si>
    <t>90 Devotions for Real Girls Facing Real Life</t>
  </si>
  <si>
    <t>Loved and Cherished</t>
  </si>
  <si>
    <t>Lynn Cowell-Michelle Nietert</t>
  </si>
  <si>
    <t>Devotions to Make You Smarter</t>
  </si>
  <si>
    <t>Zachary's Zoo</t>
  </si>
  <si>
    <t>Mike &amp; Amy Nappa</t>
  </si>
  <si>
    <t>Allie's Bayou Rescue</t>
  </si>
  <si>
    <t>NIrV, Once Upon a Time Holy Bible</t>
  </si>
  <si>
    <t>Rise Above</t>
  </si>
  <si>
    <t>A 90-Day Devotional</t>
  </si>
  <si>
    <t>Angels in Harmony</t>
  </si>
  <si>
    <t>Angels--Juvenile fiction.,Children's stories.,Christian life--Juvenile fiction.</t>
  </si>
  <si>
    <t>Arcade and the Triple T Token Educator's Guide</t>
  </si>
  <si>
    <t>JUVENILE FICTION / Science Fiction / Time Travel</t>
  </si>
  <si>
    <t>Children's stories.</t>
  </si>
  <si>
    <t>Lots of Knock-Knock Jokes for Kids</t>
  </si>
  <si>
    <t>LarryBoy in the Amazing Brain-Twister</t>
  </si>
  <si>
    <t>Life Behind the Wall</t>
  </si>
  <si>
    <t>Candy Bombers, Beetle Bunker, and Smuggler's Treasure</t>
  </si>
  <si>
    <t>JUVENILE FICTION / Historical / Europe</t>
  </si>
  <si>
    <t>VeggieTales/Pirates Who Don't Do Anything and Me!</t>
  </si>
  <si>
    <t>Fiona the Hippo Educator's Guide</t>
  </si>
  <si>
    <t>Children's stories.,Hippopotamus--Study and teaching.</t>
  </si>
  <si>
    <t>Hear My Prayer</t>
  </si>
  <si>
    <t>Lee Bennett Hopkins</t>
  </si>
  <si>
    <t>One Big Heart Activity Kit</t>
  </si>
  <si>
    <t>Arcade and the Golden Travel Guide Educator's Guide</t>
  </si>
  <si>
    <t>A Perfect Pony</t>
  </si>
  <si>
    <t>The Berenstain Bears' Nature Rescue</t>
  </si>
  <si>
    <t>The Story for Little Ones</t>
  </si>
  <si>
    <t>Discover the Bible in Pictures</t>
  </si>
  <si>
    <t>LarryBoy and the Abominable Trashman!</t>
  </si>
  <si>
    <t>Cats, Dogs, Hamsters, and Horses</t>
  </si>
  <si>
    <t>Finding Her Way: The Lucy Collection</t>
  </si>
  <si>
    <t>Adventure Bible Book of Devotions for Early Readers, NIrV</t>
  </si>
  <si>
    <t>Marnie Wooding</t>
  </si>
  <si>
    <t>Jackson Jones, Book 2</t>
  </si>
  <si>
    <t>The Tale of a Boy, a Troll, and a Rather Large Chicken</t>
  </si>
  <si>
    <t>Shoebox Sam</t>
  </si>
  <si>
    <t>Mary Brigid Barrett</t>
  </si>
  <si>
    <t>Our Feathered Friends</t>
  </si>
  <si>
    <t>You! A Christian Girl's Guide to Growing Up</t>
  </si>
  <si>
    <t>JUVENILE NONFICTION / Social Topics / Adolescence</t>
  </si>
  <si>
    <t>Alone Yet Not Alone</t>
  </si>
  <si>
    <t>JUVENILE FICTION / Religious / Christian / Historical</t>
  </si>
  <si>
    <t>Tracy Leininger Craven</t>
  </si>
  <si>
    <t>Howie Goes Shopping</t>
  </si>
  <si>
    <t>Wild Horse Spring</t>
  </si>
  <si>
    <t>God's Easter Love</t>
  </si>
  <si>
    <t>Mark Bernthal</t>
  </si>
  <si>
    <t>Code of Silence</t>
  </si>
  <si>
    <t>Living a Lie Comes with a Price</t>
  </si>
  <si>
    <t>A Christmas Gift for Santa Activity Kit</t>
  </si>
  <si>
    <t>PS3605.L4179</t>
  </si>
  <si>
    <t>J. Theron Elkins</t>
  </si>
  <si>
    <t>The Beginner's Bible The Very First Christmas</t>
  </si>
  <si>
    <t>Otter and Owl's Helpful Hike</t>
  </si>
  <si>
    <t>Miracle in Music City</t>
  </si>
  <si>
    <t>Girl Talk</t>
  </si>
  <si>
    <t>52 Weekly Devotions</t>
  </si>
  <si>
    <t>Lois Walfrid Johnson</t>
  </si>
  <si>
    <t>Church Harvest Mess-tival</t>
  </si>
  <si>
    <t>The Legend of the Candy Cane</t>
  </si>
  <si>
    <t>The Inspirational Story of Our Favorite Christmas Candy</t>
  </si>
  <si>
    <t>Aldo's Fantastical Movie Palace</t>
  </si>
  <si>
    <t>Cooking Up Holiday Fun with Faithgirlz</t>
  </si>
  <si>
    <t>30 Recipes From Food, Faith, and Fun</t>
  </si>
  <si>
    <t>Blue Ribbon Champ</t>
  </si>
  <si>
    <t>I Love You This Much</t>
  </si>
  <si>
    <t>Jake Learns to Share</t>
  </si>
  <si>
    <t>Let's Have a Daddy Day</t>
  </si>
  <si>
    <t>Project: Secret Admirer</t>
  </si>
  <si>
    <t>Picture That! 2</t>
  </si>
  <si>
    <t>Big Book of Quizzes</t>
  </si>
  <si>
    <t>Fun, Quirky Questions for You and Your Friends</t>
  </si>
  <si>
    <t>Lord's Prayer</t>
  </si>
  <si>
    <t>NIrV, Faith Builders Bible</t>
  </si>
  <si>
    <t>The Mess Detectives: The Trouble with Larry / VeggieTales</t>
  </si>
  <si>
    <t>NIV, The Great Outdoors Bible for Kids</t>
  </si>
  <si>
    <t>Project: Take Charge</t>
  </si>
  <si>
    <t>Arcade and the Fiery Metal Tester</t>
  </si>
  <si>
    <t>The Beginner's Bible Bedtime Collection</t>
  </si>
  <si>
    <t>20 Favorite Bible Stories and Prayers</t>
  </si>
  <si>
    <t>Read with Me Bible for Toddlers</t>
  </si>
  <si>
    <t>The Admiral</t>
  </si>
  <si>
    <t>The David Robinson Story</t>
  </si>
  <si>
    <t>NIV, Discoverer's Bible, Revised Edition</t>
  </si>
  <si>
    <t>Running From Reality</t>
  </si>
  <si>
    <t>The Skin You're In: Discovering True Beauty</t>
  </si>
  <si>
    <t>Previously Titled 'Beauty Lab'</t>
  </si>
  <si>
    <t>Angels, Angels Everywhere</t>
  </si>
  <si>
    <t>Shining Night</t>
  </si>
  <si>
    <t>The One and Only Wolfgang Educator's Guide</t>
  </si>
  <si>
    <t>PS3607.R4969</t>
  </si>
  <si>
    <t>Driven by Faith: The Trevor Bayne Story</t>
  </si>
  <si>
    <t>Godwin Kelly</t>
  </si>
  <si>
    <t>Little David's Big Heart</t>
  </si>
  <si>
    <t>Children of God Storybook Bible</t>
  </si>
  <si>
    <t>Let's Go on a Mommy Date</t>
  </si>
  <si>
    <t>My Cowboy Boots</t>
  </si>
  <si>
    <t>Jesus Raises Lazarus</t>
  </si>
  <si>
    <t>The Mess Detectives: The Don't-Touchables</t>
  </si>
  <si>
    <t>Love Rocks</t>
  </si>
  <si>
    <t>29 Devotions From Bestselling Faithgirlz Authors</t>
  </si>
  <si>
    <t>Big, Bold, and Beautiful</t>
  </si>
  <si>
    <t>Owning the Woman God Made You to Be</t>
  </si>
  <si>
    <t xml:space="preserve">YOUNG ADULT NONFICTION / Religious / Christian / Inspirational </t>
  </si>
  <si>
    <t>Kierra Sheard-Kelly</t>
  </si>
  <si>
    <t>Online with God</t>
  </si>
  <si>
    <t>Laurie Lazzaro Knowlton</t>
  </si>
  <si>
    <t>Sophie Loves Jimmy</t>
  </si>
  <si>
    <t>The Beginner's Bible My First Book of Prayers</t>
  </si>
  <si>
    <t>NIrV, The Holy Bible for Kids</t>
  </si>
  <si>
    <t>Jake's New Friend</t>
  </si>
  <si>
    <t>Molly and the Good Shepherd</t>
  </si>
  <si>
    <t>Glory Girl</t>
  </si>
  <si>
    <t>Daring to Believe in Your Passion and Godâ€™s Purpose</t>
  </si>
  <si>
    <t>Jess Connolly</t>
  </si>
  <si>
    <t>Troo Makes a Splash</t>
  </si>
  <si>
    <t>A Kite for Moon Educator's Guide</t>
  </si>
  <si>
    <t>PS3575.O43</t>
  </si>
  <si>
    <t>Rainforest Friends</t>
  </si>
  <si>
    <t>LarryBoy, The Good, the Bad, and the Eggly</t>
  </si>
  <si>
    <t>The Fairest Beauty</t>
  </si>
  <si>
    <t>JUVENILE FICTION / Love &amp; Romance</t>
  </si>
  <si>
    <t>Believe Kids' Edition</t>
  </si>
  <si>
    <t>BIBLES / New International Reader's Version / New Testament &amp; Portions</t>
  </si>
  <si>
    <t>1001 Bible Questions Kids Ask</t>
  </si>
  <si>
    <t>Jazz Off-Key</t>
  </si>
  <si>
    <t>Arcade and the Triple T Token</t>
  </si>
  <si>
    <t>Man on a Mission</t>
  </si>
  <si>
    <t>The David Hilmers Story</t>
  </si>
  <si>
    <t>David Hilmers-Rick Houston</t>
  </si>
  <si>
    <t>Samantha Sanderson At the Movies</t>
  </si>
  <si>
    <t>Arcade and the Dazzling Truth Detector Educator Guide</t>
  </si>
  <si>
    <t>PZ7.1.J4544</t>
  </si>
  <si>
    <t>African Americans--Juvenile fiction.,Christian ethics--Juvenile fiction.,Siblings--Juvenile fiction.,Time travel--Juvenile fiction.,Tokens--Juvenile fiction.,Voyages and travels--Juvenile fiction.</t>
  </si>
  <si>
    <t>The Coin Slot Chronicles Ser</t>
  </si>
  <si>
    <t>Jake Goes Fishing</t>
  </si>
  <si>
    <t>NIV, Big Dreams Big Prayers Bible for Kids</t>
  </si>
  <si>
    <t>Conversations with God</t>
  </si>
  <si>
    <t>Reboot Your Brain</t>
  </si>
  <si>
    <t>Byte-Sized Devotions for Boys</t>
  </si>
  <si>
    <t>2:52 / Soul Gear</t>
  </si>
  <si>
    <t>Curious Creatures Down Under</t>
  </si>
  <si>
    <t>Smuggler's Treasure</t>
  </si>
  <si>
    <t>Brave Beauty</t>
  </si>
  <si>
    <t>Finding the Fearless You</t>
  </si>
  <si>
    <t>Lynn Cowell</t>
  </si>
  <si>
    <t>Rocks and Plants</t>
  </si>
  <si>
    <t>Sophie Steps Up</t>
  </si>
  <si>
    <t>Beetle Bunker</t>
  </si>
  <si>
    <t>Shine On, Girl!</t>
  </si>
  <si>
    <t>Tale of the Poisonous Yuck Bugs</t>
  </si>
  <si>
    <t>Based on Proverbs 12:18</t>
  </si>
  <si>
    <t>Faithgirlz! Whatever</t>
  </si>
  <si>
    <t>Livinâ€™ the True, Noble and Totally Excellent Life</t>
  </si>
  <si>
    <t>God Is with You</t>
  </si>
  <si>
    <t>That Is All You Need</t>
  </si>
  <si>
    <t>Sophie Gets Real</t>
  </si>
  <si>
    <t>Being the Best Me</t>
  </si>
  <si>
    <t>A Christian Girlâ€™s Guide to Building Confidence</t>
  </si>
  <si>
    <t>Nancy N. Rue-Kristi Holl-Suzanne Hadley Gosselin-Lois Walfrid Johnson</t>
  </si>
  <si>
    <t>Body Talk</t>
  </si>
  <si>
    <t>JUVENILE NONFICTION / Health &amp; Daily Living / Maturing</t>
  </si>
  <si>
    <t>On the Run</t>
  </si>
  <si>
    <t>Troo's Secret Clubhouse</t>
  </si>
  <si>
    <t>On the Go! Jokes for Kids</t>
  </si>
  <si>
    <t>Over 250 Jokes</t>
  </si>
  <si>
    <t>NIV, Textbook Bible for Students</t>
  </si>
  <si>
    <t>Clash</t>
  </si>
  <si>
    <t>You Don't Have to Be Perfect to Follow Jesus</t>
  </si>
  <si>
    <t>A 30-Day Devotional Journal</t>
  </si>
  <si>
    <t>Mike Yaconelli</t>
  </si>
  <si>
    <t>Goodnight, Angels</t>
  </si>
  <si>
    <t>Sophie's First Dance</t>
  </si>
  <si>
    <t>The Beginner's Bible Book of Devotions---My Time with God</t>
  </si>
  <si>
    <t>The House That Went Ker---Splat!</t>
  </si>
  <si>
    <t>The Parable of the Wise and Foolish Builders</t>
  </si>
  <si>
    <t>Project: Ski Trip</t>
  </si>
  <si>
    <t>Full Court Press</t>
  </si>
  <si>
    <t>Angels on Guard</t>
  </si>
  <si>
    <t>Angels--Juvenile fiction.</t>
  </si>
  <si>
    <t>Threshold Ser</t>
  </si>
  <si>
    <t>The Berenstain Bears The Trouble with Tryouts</t>
  </si>
  <si>
    <t>JUVENILE FICTION / Sports &amp; Recreation / Soccer</t>
  </si>
  <si>
    <t>LarryBoy and the Awful Ear Wacks Attacks</t>
  </si>
  <si>
    <t>Bob Katula</t>
  </si>
  <si>
    <t>May the Faith Be with You</t>
  </si>
  <si>
    <t>180 Devotions That Are Out of This World</t>
  </si>
  <si>
    <t>Waves of Light</t>
  </si>
  <si>
    <t>The Mess Detectives: The Big Sleepover</t>
  </si>
  <si>
    <t>Gift of Peace: The Jimmy Carter Story</t>
  </si>
  <si>
    <t>The Story for Children, a Storybook Bible</t>
  </si>
  <si>
    <t>Girl Power</t>
  </si>
  <si>
    <t>The Beauty of Believing</t>
  </si>
  <si>
    <t>365 Devotions That Will Change Your Life</t>
  </si>
  <si>
    <t>Nancy N. Rue-Allia Zobel Nolan-Lois Walfrid Johnson-Kristi Holl-Mona Hodgson-Tasha K Douglas</t>
  </si>
  <si>
    <t>Girl Politics, Updated Edition</t>
  </si>
  <si>
    <t>Friends, Cliques, and Really Mean Chicks</t>
  </si>
  <si>
    <t>Nervous Norman Hot on the Trail</t>
  </si>
  <si>
    <t>The Parable of the Lost Sheep</t>
  </si>
  <si>
    <t>Saving Moby Dick</t>
  </si>
  <si>
    <t>Forest Friends</t>
  </si>
  <si>
    <t>Carrying Mason</t>
  </si>
  <si>
    <t>Lucy Finds Her Way</t>
  </si>
  <si>
    <t>NRSV, Adventure Bible</t>
  </si>
  <si>
    <t>BIBLES / New Revised Standard Version / Children</t>
  </si>
  <si>
    <t>Arcade and the Dazzling Truth Detector</t>
  </si>
  <si>
    <t>The Goat of Many Colors</t>
  </si>
  <si>
    <t>The Sweetest Story Bible</t>
  </si>
  <si>
    <t>Sweet Thoughts and Sweet Words for Little Girls</t>
  </si>
  <si>
    <t>Breaking Through By Grace: The Bono Story</t>
  </si>
  <si>
    <t>JUVENILE NONFICTION / Biography &amp; Autobiography / Music</t>
  </si>
  <si>
    <t>Sophie's Stormy Summer</t>
  </si>
  <si>
    <t>Along Came You</t>
  </si>
  <si>
    <t>Karona Drummond</t>
  </si>
  <si>
    <t>Barnabas Goes Swimming</t>
  </si>
  <si>
    <t>God Made You Special / VeggieTales</t>
  </si>
  <si>
    <t>Eric Metaxas</t>
  </si>
  <si>
    <t>The Forgotten Room</t>
  </si>
  <si>
    <t>Pugtato Finds a Thing Activity Kit</t>
  </si>
  <si>
    <t>KJV, Discoverer's Bible, Revised Edition</t>
  </si>
  <si>
    <t>Saint Training</t>
  </si>
  <si>
    <t>Elizabeth Fixmer</t>
  </si>
  <si>
    <t>Take Charge</t>
  </si>
  <si>
    <t>The Beginner's Bible Kid-Sized Devotions</t>
  </si>
  <si>
    <t>Saying Grace</t>
  </si>
  <si>
    <t>A Prayer of Thanksgiving</t>
  </si>
  <si>
    <t>Crunch</t>
  </si>
  <si>
    <t>The Silly Family</t>
  </si>
  <si>
    <t>Swimming with Faith</t>
  </si>
  <si>
    <t>The Missy Franklin Story</t>
  </si>
  <si>
    <t>A Very Fiona Christmas Educator's Guide</t>
  </si>
  <si>
    <t>PS3603.O88864</t>
  </si>
  <si>
    <t>The Purpose Driven Life Devotional for Kids</t>
  </si>
  <si>
    <t>The Messy Family</t>
  </si>
  <si>
    <t>LEO, Inventor Extraordinaire</t>
  </si>
  <si>
    <t>JUVENILE FICTION / Technology / Inventions</t>
  </si>
  <si>
    <t>Luke Xavier Cunningham</t>
  </si>
  <si>
    <t>Jungle Beasts</t>
  </si>
  <si>
    <t>SOCIAL SCIENCE / Discrimination</t>
  </si>
  <si>
    <t>What's So Amazing About Grace? Study Guide</t>
  </si>
  <si>
    <t>Philip Yancey-Brenda Quinn</t>
  </si>
  <si>
    <t>NIV, Busy Family Bible</t>
  </si>
  <si>
    <t>Daily Inspiration Even If You Only Have a Minute</t>
  </si>
  <si>
    <t>Beyond Championships Teen Edition</t>
  </si>
  <si>
    <t>A Playbook for Winning at Life</t>
  </si>
  <si>
    <t>Dru Joyce II-Chris Morrow</t>
  </si>
  <si>
    <t>Finding God</t>
  </si>
  <si>
    <t>Larry Crabb</t>
  </si>
  <si>
    <t>NIV, Once-A-Day: Bible for Women</t>
  </si>
  <si>
    <t>BIBLES / New International Version / General</t>
  </si>
  <si>
    <t>Once-A-Day</t>
  </si>
  <si>
    <t>NIV, Once-A-Day: 31 Days of Wisdom</t>
  </si>
  <si>
    <t>NIV, Once-A-Day: Walk with Jesus</t>
  </si>
  <si>
    <t>365 Days in the New Testament</t>
  </si>
  <si>
    <t>NIV, Believe</t>
  </si>
  <si>
    <t>Living the Story of the Bible to Become Like Jesus</t>
  </si>
  <si>
    <t>BIBLES / New International Version / Reading</t>
  </si>
  <si>
    <t>I Saw the Lord</t>
  </si>
  <si>
    <t>A Wake-Up Call for Your Heart</t>
  </si>
  <si>
    <t>NIV, Promises for Men</t>
  </si>
  <si>
    <t>NIV, Books of the Bible</t>
  </si>
  <si>
    <t>Eli</t>
  </si>
  <si>
    <t>NIV, Beautiful Word Bible, Updated Edition</t>
  </si>
  <si>
    <t>600+ Full-Color Illustrated Verses</t>
  </si>
  <si>
    <t>BIBLES / New International Version / Journaling</t>
  </si>
  <si>
    <t>Beautiful Word</t>
  </si>
  <si>
    <t>NIV, Busy Dad's Bible</t>
  </si>
  <si>
    <t>Daily Inspiration Even If You Only Have One Minute</t>
  </si>
  <si>
    <t>Zondervan-Christopher D. Hudson</t>
  </si>
  <si>
    <t>NIV, Busy Mom's Bible</t>
  </si>
  <si>
    <t>NIV, Mom's Devotional Bible</t>
  </si>
  <si>
    <t>BIBLES / New International Version / Devotional</t>
  </si>
  <si>
    <t>NIV, Once-A-Day: Bible Promises Devotional</t>
  </si>
  <si>
    <t>Livingstone Corporation</t>
  </si>
  <si>
    <t>NRSV, Green Bible</t>
  </si>
  <si>
    <t>BS191</t>
  </si>
  <si>
    <t>Environmentalism--Religious aspects--Christianity.,Green movement.</t>
  </si>
  <si>
    <t>NIV, Once-A-Day: 30 Days to Authentic Christian Leadership</t>
  </si>
  <si>
    <t>NIV, Once-A-Day: Bible: Chronological Edition</t>
  </si>
  <si>
    <t>NIV, Once-A-Day: Bible for Leaders</t>
  </si>
  <si>
    <t>NIV, Cultural Backgrounds Study Bible</t>
  </si>
  <si>
    <t>Bringing to Life the Ancient World of Scripture</t>
  </si>
  <si>
    <t>NIV, Faith and Work Bible</t>
  </si>
  <si>
    <t>Believe Student Edition</t>
  </si>
  <si>
    <t>NIV, Once-A-Day: 25 Days of Advent Devotional</t>
  </si>
  <si>
    <t>Kenneth D. Boa-John Alan Turner</t>
  </si>
  <si>
    <t>NIV, Our Heritage and Faith Holy Bible for African-American Teens</t>
  </si>
  <si>
    <t>NIV, Once-A-Day: Bible</t>
  </si>
  <si>
    <t>NIV, Beautiful Word Bible</t>
  </si>
  <si>
    <t>500 Full-Color Illustrated Verses</t>
  </si>
  <si>
    <t>The Bible As One Continuing Story of God and His People</t>
  </si>
  <si>
    <t>Rumors of Another World</t>
  </si>
  <si>
    <t>What on Earth Are We Missing?</t>
  </si>
  <si>
    <t>Philip Yancey</t>
  </si>
  <si>
    <t>NIV, Story of Jesus</t>
  </si>
  <si>
    <t>NIV, Beautiful Word Bible for Girls</t>
  </si>
  <si>
    <t>NIV, Holy Bible, New Testament, Red Letter</t>
  </si>
  <si>
    <t>The Daniel Prayer</t>
  </si>
  <si>
    <t>Prayer That Moves Heaven and Changes Nations</t>
  </si>
  <si>
    <t>NIV, People's Bible</t>
  </si>
  <si>
    <t>Your Visual Guide to the Bibleâ€™s Most Searched Verses</t>
  </si>
  <si>
    <t>Where Is God When It Hurts/What's So Amazing About Grace?</t>
  </si>
  <si>
    <t>BT732.7 .Y36 2008eb</t>
  </si>
  <si>
    <t>Grace (Theology),Suffering--Religious aspects--Christianity.</t>
  </si>
  <si>
    <t>NIV, Women's Devotional Bible</t>
  </si>
  <si>
    <t>What's So Amazing About Grace?</t>
  </si>
  <si>
    <t>NIV, Holy Bible</t>
  </si>
  <si>
    <t>NIV, My Holy Bible for African-American Children</t>
  </si>
  <si>
    <t>Prayer</t>
  </si>
  <si>
    <t>Does It Make Any Difference?</t>
  </si>
  <si>
    <t>NIV, Promises for Women</t>
  </si>
  <si>
    <t>NIV, Essentials of the Christian Faith, New Testament</t>
  </si>
  <si>
    <t>Knowing Jesus and Living the Christian Faith</t>
  </si>
  <si>
    <t>NIV, Once-A-Day: At the Table Family Devotional</t>
  </si>
  <si>
    <t>365 Daily Readings and Conversation Starters for Your Family</t>
  </si>
  <si>
    <t>Christopher D. Hudson</t>
  </si>
  <si>
    <t>The Jesus Bible, NIV Edition</t>
  </si>
  <si>
    <t>NIV, Once-A-Day: Morning and Evening Bible</t>
  </si>
  <si>
    <t>Once-A-Day Devotional for Teens</t>
  </si>
  <si>
    <t>NIV, Leadership Bible</t>
  </si>
  <si>
    <t>Leading by The Book</t>
  </si>
  <si>
    <t>Zondervan-Sidney Buzzell-William Perkins-Kenneth D. Boa</t>
  </si>
  <si>
    <t>How I Lost My Religion but Found My Faith</t>
  </si>
  <si>
    <t>Lecrae Moore</t>
  </si>
  <si>
    <t>Messy Spirituality</t>
  </si>
  <si>
    <t>God's Annoying Love for Imperfect People</t>
  </si>
  <si>
    <t>NIV, Find Prayer: VerseLight Bible</t>
  </si>
  <si>
    <t>Quickly Find Scripture Passages About Prayer</t>
  </si>
  <si>
    <t>NIV, Encountering Jesus Bible</t>
  </si>
  <si>
    <t>Jesus Revealed Throughout the Bible</t>
  </si>
  <si>
    <t>The Book of God</t>
  </si>
  <si>
    <t>The Bible As a Novel</t>
  </si>
  <si>
    <t>FICTION / Christian / Biblical</t>
  </si>
  <si>
    <t>Walter Wangerin Jr.</t>
  </si>
  <si>
    <t>Wonder, Fear, and Longing, EBook</t>
  </si>
  <si>
    <t>A Book of Prayers</t>
  </si>
  <si>
    <t>Mark Yaconelli</t>
  </si>
  <si>
    <t>NIV, Voices of Faith Devotional Bible</t>
  </si>
  <si>
    <t>Insights From the Past and Present</t>
  </si>
  <si>
    <t>NIV, Great Rescue: Discover Your Part in God's Plan</t>
  </si>
  <si>
    <t>Revised Edition</t>
  </si>
  <si>
    <t>NIV, QuickView Bible</t>
  </si>
  <si>
    <t>Come Matter Here</t>
  </si>
  <si>
    <t>Your Invitation to Be Here in a Getting There World</t>
  </si>
  <si>
    <t>Hannah Brencher</t>
  </si>
  <si>
    <t>NIV, Case for the Resurrection</t>
  </si>
  <si>
    <t>RELIGION / Christianity / General</t>
  </si>
  <si>
    <t>10 Great Dates for Empty Nesters</t>
  </si>
  <si>
    <t>David and Claudia Arp</t>
  </si>
  <si>
    <t>NIV, Worship Together Bible</t>
  </si>
  <si>
    <t>Discover Scripture Through Classic and Contemporary Music</t>
  </si>
  <si>
    <t>Reflections by Rosa Parks</t>
  </si>
  <si>
    <t>The Quiet Strength and Faith of a Woman Who Changed a Nation</t>
  </si>
  <si>
    <t>BIOGRAPHY &amp; AUTOBIOGRAPHY / Historical</t>
  </si>
  <si>
    <t>Rosa Parks-Gregory J. Reed</t>
  </si>
  <si>
    <t>Generous Living</t>
  </si>
  <si>
    <t>Finding Contentment Through Giving</t>
  </si>
  <si>
    <t>RELIGION / Christian Living / Stewardship &amp; Giving</t>
  </si>
  <si>
    <t>Ron Blue-Jodie Berndt</t>
  </si>
  <si>
    <t>The Kingdom New Testament</t>
  </si>
  <si>
    <t>A Contemporary Translation</t>
  </si>
  <si>
    <t>BIBLES / Other English Translations / New Testament &amp; Portions</t>
  </si>
  <si>
    <t>BS2095</t>
  </si>
  <si>
    <t>Electronic books.</t>
  </si>
  <si>
    <t>N. T. Wright</t>
  </si>
  <si>
    <t>1st ed</t>
  </si>
  <si>
    <t>Honestly</t>
  </si>
  <si>
    <t>NIV, Find Faith: VerseLight Bible</t>
  </si>
  <si>
    <t>Quickly Find Verses About Godâ€™s Constant Faithfulness</t>
  </si>
  <si>
    <t>NIV, DayBreak Promises From Proverbs</t>
  </si>
  <si>
    <t>Lawrence O. Richards-David Carder</t>
  </si>
  <si>
    <t>DayBreak Books</t>
  </si>
  <si>
    <t>Fighting Forward</t>
  </si>
  <si>
    <t>Your Nitty-Gritty Guide to Beating the Lies That Hold You Back</t>
  </si>
  <si>
    <t>NIV, Celebrate Recovery Study Bible</t>
  </si>
  <si>
    <t>Celebrate Recovery</t>
  </si>
  <si>
    <t>I Am Restored</t>
  </si>
  <si>
    <t>God on Mute</t>
  </si>
  <si>
    <t>Engaging the Silence of Unanswered Prayer</t>
  </si>
  <si>
    <t>NIV, Daily Promises for Women of Color</t>
  </si>
  <si>
    <t>NIV, Gift of Christmas: 14 Days of Devotions</t>
  </si>
  <si>
    <t>7 Deadly Sins of Women in Leadership</t>
  </si>
  <si>
    <t>Overcome Self-Defeating Behavior in Work and Ministry</t>
  </si>
  <si>
    <t>BV4415</t>
  </si>
  <si>
    <t>Leadership in women.,Women in Christianity.,Women in church work.</t>
  </si>
  <si>
    <t>Kate Coleman</t>
  </si>
  <si>
    <t>NIV, Storyline Bible</t>
  </si>
  <si>
    <t>Each Story Plays a Part. See How They All Connect.</t>
  </si>
  <si>
    <t>NIV, Busy Life Bible</t>
  </si>
  <si>
    <t>60-Second Thought Starters on Topics That Matter to You</t>
  </si>
  <si>
    <t>God and Government</t>
  </si>
  <si>
    <t>An Insider's View on the Boundaries Between Faith and Politics</t>
  </si>
  <si>
    <t>Charles W. Colson</t>
  </si>
  <si>
    <t>NIV, Ragamuffin Bible</t>
  </si>
  <si>
    <t>Meditations for the Bedraggled, Beat-Up, and Brokenhearted</t>
  </si>
  <si>
    <t>Brennan Manning</t>
  </si>
  <si>
    <t>Trial by Fire</t>
  </si>
  <si>
    <t>Newpointe 911</t>
  </si>
  <si>
    <t>NIV, Teachings of the Torah</t>
  </si>
  <si>
    <t>Weaving Jewish History with the Christian Faith</t>
  </si>
  <si>
    <t>In Pursuit of Love</t>
  </si>
  <si>
    <t>One Womanâ€™s Journey From Trafficked to Triumphant</t>
  </si>
  <si>
    <t>BIOGRAPHY &amp; AUTOBIOGRAPHY / Social Activists</t>
  </si>
  <si>
    <t>NIV, College Devotional Bible</t>
  </si>
  <si>
    <t>NIV, DayBreak Verses for Women</t>
  </si>
  <si>
    <t>NIV, Understand the Faith Study Bible</t>
  </si>
  <si>
    <t>Grounding Your Beliefs in the Truth of Scripture</t>
  </si>
  <si>
    <t>NIV, Recovery Devotional Bible</t>
  </si>
  <si>
    <t>NIV, Proclamation Bible</t>
  </si>
  <si>
    <t>Correctly Handling the Word of Truth</t>
  </si>
  <si>
    <t>NIV, Engaged Couples' Bible</t>
  </si>
  <si>
    <t>The Magnificent Obsession</t>
  </si>
  <si>
    <t>Embracing the God-Filled Life</t>
  </si>
  <si>
    <t>NIV, Find Hope: VerseLight Bible</t>
  </si>
  <si>
    <t>Quickly Find Verses of Hope and Comfort for Hurting People</t>
  </si>
  <si>
    <t>Go Big or Go Home</t>
  </si>
  <si>
    <t>The Journey Toward the Dream</t>
  </si>
  <si>
    <t>BIOGRAPHY &amp; AUTOBIOGRAPHY / Music</t>
  </si>
  <si>
    <t>Scotty McCreery-Travis Thrasher</t>
  </si>
  <si>
    <t>NIV, Revolution Bible</t>
  </si>
  <si>
    <t>The Bible for Teen Guys</t>
  </si>
  <si>
    <t>NIV, Pillars of the Faith</t>
  </si>
  <si>
    <t>NIV, Passages Bible</t>
  </si>
  <si>
    <t>Read Through the Bible in a Year</t>
  </si>
  <si>
    <t>Brian Hardin</t>
  </si>
  <si>
    <t>Loving God</t>
  </si>
  <si>
    <t>The Cost of Being a Christian</t>
  </si>
  <si>
    <t>NIV, DayBreak Prayers for Believers</t>
  </si>
  <si>
    <t>NIV, New Testament with Psalms and Proverbs</t>
  </si>
  <si>
    <t>Wounded by God's People</t>
  </si>
  <si>
    <t>Discovering How Godâ€™s Love Heals Our Hearts</t>
  </si>
  <si>
    <t>NIV, QuickView of the Gospel of John</t>
  </si>
  <si>
    <t>The Wonder Switch</t>
  </si>
  <si>
    <t>The Difference Between Limiting Your Life and Living Your Dream</t>
  </si>
  <si>
    <t>Harris III</t>
  </si>
  <si>
    <t>NIV, Fast Facts Bible</t>
  </si>
  <si>
    <t>Fascinating Trivia From the Most Read Book in History</t>
  </si>
  <si>
    <t>NIV, Questions of the Bible About the Life of Paul: Excerpts From The Quest Study Bible</t>
  </si>
  <si>
    <t>The Imam's Daughter</t>
  </si>
  <si>
    <t>My Desperate Flight to Freedom</t>
  </si>
  <si>
    <t>Hannah Shah</t>
  </si>
  <si>
    <t>NIV, Couples' Devotional Bible</t>
  </si>
  <si>
    <t>NIV, Gospel of John</t>
  </si>
  <si>
    <t>With Devotional Notes</t>
  </si>
  <si>
    <t>BS2615.53</t>
  </si>
  <si>
    <t>NIV, Game Plan for Life Bible</t>
  </si>
  <si>
    <t>Notes by Joe Gibbs</t>
  </si>
  <si>
    <t>Zondervan-Joe Gibbs</t>
  </si>
  <si>
    <t>NIV, Halley's Study Bible</t>
  </si>
  <si>
    <t>Making the Bible's Wisdom Accessible Through Notes, Photos, and Maps</t>
  </si>
  <si>
    <t>NIV, Discover God's Heart Devotional Bible</t>
  </si>
  <si>
    <t>Explore the King's Love for His People on a Cover-to-Cover Journey Through the Bible</t>
  </si>
  <si>
    <t>Walk Thru the Bible</t>
  </si>
  <si>
    <t>NIV, Lessons From Life Bible</t>
  </si>
  <si>
    <t>Personal Reflections with Jimmy Carter</t>
  </si>
  <si>
    <t>NIV, Encountering the Spirit Bible</t>
  </si>
  <si>
    <t>Discover the Power of the Holy Spirit</t>
  </si>
  <si>
    <t>NIV, Once-A-Day Bible for Teens</t>
  </si>
  <si>
    <t>NIV, Homeschool Mom's Bible</t>
  </si>
  <si>
    <t>Daily Personal Encouragement</t>
  </si>
  <si>
    <t>Janet Tatman</t>
  </si>
  <si>
    <t>NIV, Quest Bible for Teens</t>
  </si>
  <si>
    <t>Christianity Today Intl.</t>
  </si>
  <si>
    <t>Word of Honor</t>
  </si>
  <si>
    <t>NIV, Faith in Action Study Bible</t>
  </si>
  <si>
    <t>Living God's Word in a Changing World</t>
  </si>
  <si>
    <t>NIV, Fulfilled</t>
  </si>
  <si>
    <t>The NIV Devotional Bible for the Single Woman</t>
  </si>
  <si>
    <t>Mary Hollingsworth</t>
  </si>
  <si>
    <t>NIV, Bible for Women</t>
  </si>
  <si>
    <t>Fresh Insights for Thriving in Today's World</t>
  </si>
  <si>
    <t>Revolution Devotional</t>
  </si>
  <si>
    <t>90 Daily Devotions for Guys</t>
  </si>
  <si>
    <t>NIV, The Story: Going Deeper</t>
  </si>
  <si>
    <t>Find Your Place in God's Redemptive Plan</t>
  </si>
  <si>
    <t>God and the Pandemic</t>
  </si>
  <si>
    <t>A Christian Reflection on the Coronavirus and Its Aftermath</t>
  </si>
  <si>
    <t>BT732.7</t>
  </si>
  <si>
    <t>COVID-19 (Disease)--Religious aspects--Christianity.,Diseases--Religious aspects--Christianity.,Epidemics--Religious aspects--Christianity.,Suffering--Religious aspects--Christianity.</t>
  </si>
  <si>
    <t>NIV, Extreme Sports Bible</t>
  </si>
  <si>
    <t>NIV, Rock Solid Faith Study Bible for Teens: Build and Defend Your Faith Based on God's Promises</t>
  </si>
  <si>
    <t>Build and Defend Your Faith Based on God's Promises</t>
  </si>
  <si>
    <t>Private Justice</t>
  </si>
  <si>
    <t>NIV, Streams in the Desert Bible</t>
  </si>
  <si>
    <t>365 Thirst-Quenching Devotions</t>
  </si>
  <si>
    <t>L. B. E. Cowman-Jim Reimann</t>
  </si>
  <si>
    <t>Is Heaven Real?</t>
  </si>
  <si>
    <t>Meditations on Scriptures About the Afterlife</t>
  </si>
  <si>
    <t>NIV, CoffeeHouse Bible</t>
  </si>
  <si>
    <t>NIV, Biblical Theology Study Bible</t>
  </si>
  <si>
    <t>Follow Godâ€™s Redemptive Plan As It Unfolds Throughout Scripture</t>
  </si>
  <si>
    <t>Zondervan-T. Desmond Alexander-Richard Hess-Douglas J. Moo</t>
  </si>
  <si>
    <t>NIV, Easter Story From the Family Reading Bible</t>
  </si>
  <si>
    <t>BT315.2</t>
  </si>
  <si>
    <t>Easter--Prayers and devotions.</t>
  </si>
  <si>
    <t>Vanishing Grace</t>
  </si>
  <si>
    <t>Bringing Good News to a Deeply Divided World</t>
  </si>
  <si>
    <t>BR517 .Y36 2018eb</t>
  </si>
  <si>
    <t>Christian life.,Christianity and culture--United States.,Christianity--United States--Public opinion.,Religious life.,Witness bearing (Christianity)</t>
  </si>
  <si>
    <t>NIV, Bible for Teen Girls</t>
  </si>
  <si>
    <t>Growing in Faith, Hope, and Love</t>
  </si>
  <si>
    <t>The Rage Against God</t>
  </si>
  <si>
    <t>How Atheism Led Me to Faith</t>
  </si>
  <si>
    <t>Peter Hitchens</t>
  </si>
  <si>
    <t>NIV, New Mom's Prayer Bible</t>
  </si>
  <si>
    <t>Encouragement for Your First Year Together</t>
  </si>
  <si>
    <t>Truth Doesn't Have a Side</t>
  </si>
  <si>
    <t>My Alarming Discovery About the Danger of Contact Sports</t>
  </si>
  <si>
    <t>SPORTS &amp; RECREATION / Football</t>
  </si>
  <si>
    <t>Bennet Omalu-Mark Tabb</t>
  </si>
  <si>
    <t>NIV, The Journey Bible</t>
  </si>
  <si>
    <t>Revealing God and How You Fit Into His Plan</t>
  </si>
  <si>
    <t>The Question That Never Goes Away</t>
  </si>
  <si>
    <t>Storming the Gates of Heaven</t>
  </si>
  <si>
    <t>Prayer That Claims the Promises of God</t>
  </si>
  <si>
    <t>NIV, Pathways Bible</t>
  </si>
  <si>
    <t>NIV Study Bible, Fully Revised Edition</t>
  </si>
  <si>
    <t>BS195</t>
  </si>
  <si>
    <t>NIV, A Guided Tour of the Bible: Excerpts From The Quest Study Bible</t>
  </si>
  <si>
    <t>NIV, Family Reading Bible</t>
  </si>
  <si>
    <t>A Joyful Discovery: Explore Godâ€™s Word Together</t>
  </si>
  <si>
    <t>Jeannette Taylor-Doris Wynbeek Rikkers</t>
  </si>
  <si>
    <t>NIV, Outdoorsman Bible</t>
  </si>
  <si>
    <t>NIV, Topical Starter Bible</t>
  </si>
  <si>
    <t>NIV, Spiritual Renewal Study Bible</t>
  </si>
  <si>
    <t>Experience New Growth and Transformation in Your Spiritual Walk</t>
  </si>
  <si>
    <t>Expecting to See Jesus</t>
  </si>
  <si>
    <t>A Wake-Up Call for God's People</t>
  </si>
  <si>
    <t>Shadow of Doubt</t>
  </si>
  <si>
    <t>NIV, Military Wives' New Testament With Psalms and Proverbs</t>
  </si>
  <si>
    <t>Zondervan-Jocelyn Green</t>
  </si>
  <si>
    <t>NIV, Life Journey Bible</t>
  </si>
  <si>
    <t>Find the Answers for Your Whole Life</t>
  </si>
  <si>
    <t>Henry Cloud-John Townsend</t>
  </si>
  <si>
    <t>Soul Fuel</t>
  </si>
  <si>
    <t>A Daily Devotional</t>
  </si>
  <si>
    <t>Bear Grylls</t>
  </si>
  <si>
    <t>NIV, Bible in 90 Days</t>
  </si>
  <si>
    <t>Cover to Cover in 12 Pages a Day</t>
  </si>
  <si>
    <t>KJV, Homeschool Mom's Bible</t>
  </si>
  <si>
    <t>BIBLES / King James Version / Devotional</t>
  </si>
  <si>
    <t>NIV, Once-A-Day 40 Days to Easter Devotional</t>
  </si>
  <si>
    <t>NIV, Starting Place Study Bible</t>
  </si>
  <si>
    <t>An Introductory Exploration of Studying God's Word</t>
  </si>
  <si>
    <t>NIV, Questions on the Old Testament: Excerpts From The Quest Study Bible</t>
  </si>
  <si>
    <t>NIV, Christmas Story From the Family Reading Bible</t>
  </si>
  <si>
    <t>True Images Devotional</t>
  </si>
  <si>
    <t>90 Daily Devotions for Teen Girls</t>
  </si>
  <si>
    <t>Karen Moore</t>
  </si>
  <si>
    <t>NIV, Lifehacks Bible</t>
  </si>
  <si>
    <t>Practical Tools for Successful Spiritual Habits</t>
  </si>
  <si>
    <t>NIV, The Books of the Bible: The Writings</t>
  </si>
  <si>
    <t>Find Wisdom in Stories, Poetry, and Songs</t>
  </si>
  <si>
    <t>NIV, Questions of the Bible About the Life of Jesus: Excerpts From The Quest Study Bible</t>
  </si>
  <si>
    <t>Heaven Help Helen Sloane</t>
  </si>
  <si>
    <t>Jeff Lucas</t>
  </si>
  <si>
    <t>Promised to Me</t>
  </si>
  <si>
    <t>Coming to America</t>
  </si>
  <si>
    <t>Naomi and Her Daughters</t>
  </si>
  <si>
    <t>FICTION / Christian / Historical</t>
  </si>
  <si>
    <t>NIV, Pink Bible, Breast Cancer Edition</t>
  </si>
  <si>
    <t>An Invitation to Hope</t>
  </si>
  <si>
    <t>NIV, Hope in the Mourning Bible</t>
  </si>
  <si>
    <t>Finding Strength Through God's Eternal Perspective</t>
  </si>
  <si>
    <t>Zondervan-Timothy Beals</t>
  </si>
  <si>
    <t>The Generosity Factor</t>
  </si>
  <si>
    <t>Discover the Joy of Giving Your Time, Talent, and Treasure</t>
  </si>
  <si>
    <t>HG4028.C6</t>
  </si>
  <si>
    <t>Corporations--Charitable contributions.,Generosity.,Gifts--Moral and ethical aspects.</t>
  </si>
  <si>
    <t>Ken Blanchard</t>
  </si>
  <si>
    <t>Rock Solid Plans for Graduates</t>
  </si>
  <si>
    <t>NIV, Find Love: VerseLight Bible</t>
  </si>
  <si>
    <t>Quickly Find Scripture Passages About Godâ€™s Love</t>
  </si>
  <si>
    <t>You Can't Do It!</t>
  </si>
  <si>
    <t>There Are a Million Reasons You Can't---Find the Reason You Can</t>
  </si>
  <si>
    <t>SELF-HELP / Personal Growth / Self-Esteem</t>
  </si>
  <si>
    <t>Marcus Johns</t>
  </si>
  <si>
    <t>What's Your Mark?</t>
  </si>
  <si>
    <t>Jeremy Cowart</t>
  </si>
  <si>
    <t>The Daniel Key</t>
  </si>
  <si>
    <t>20 Choices That Make All the Difference</t>
  </si>
  <si>
    <t>NIV, Quest Study Bible</t>
  </si>
  <si>
    <t>The Only Q and A Study Bible</t>
  </si>
  <si>
    <t>NIV, The Books of the Bible: Covenant History</t>
  </si>
  <si>
    <t>Discover the Origins of Godâ€™s People</t>
  </si>
  <si>
    <t>NIV, The Books of the Bible: New Testament</t>
  </si>
  <si>
    <t>Enter the Story of Jesusâ€™ Church and His Return</t>
  </si>
  <si>
    <t>Enough About Me</t>
  </si>
  <si>
    <t>The Unexpected Power of Selflessness</t>
  </si>
  <si>
    <t>Richard Lui</t>
  </si>
  <si>
    <t>NIV, DayBreak Promises for Believers</t>
  </si>
  <si>
    <t>NIV, Essentials Study Bible</t>
  </si>
  <si>
    <t>Easily Grasp the Fundamentals of Scripture Through Lenses From 6 Bestselling NIV Resources</t>
  </si>
  <si>
    <t>NIV, Encountering God Bible</t>
  </si>
  <si>
    <t>God's Divine Character Revealed</t>
  </si>
  <si>
    <t>NIV, The Books of the Bible: The Prophets</t>
  </si>
  <si>
    <t>Listen to Godâ€™s Messengers Proclaiming Hope and Truth</t>
  </si>
  <si>
    <t>The Gift of Pain</t>
  </si>
  <si>
    <t>Why We Hurt and What We Can Do About It</t>
  </si>
  <si>
    <t>R154.B779</t>
  </si>
  <si>
    <t>Leprosy.,Pain.,Surgeons--Great Britain--Biography.,Surgeons--India--Biography.,Surgeons--United States--Biography.,Surgery.</t>
  </si>
  <si>
    <t>Paul Brand-Philip Yancey</t>
  </si>
  <si>
    <t>NIV, Top 100 Most-Asked Questions of the Bible: Excerpts From The Quest Study Bible</t>
  </si>
  <si>
    <t>The Gift of Easter: 14 Days of Devotions</t>
  </si>
  <si>
    <t>Emerald Windows</t>
  </si>
  <si>
    <t>Days Like These</t>
  </si>
  <si>
    <t>Even In The Darkest Moments, Light Can Shine Through</t>
  </si>
  <si>
    <t>Kristian &amp; Rachel Anderson</t>
  </si>
  <si>
    <t>DayBreak Verses for Men</t>
  </si>
  <si>
    <t>NIV, Student Bible</t>
  </si>
  <si>
    <t>NIV, Bible for Teen Guys</t>
  </si>
  <si>
    <t>Building Faith, Wisdom and Strength</t>
  </si>
  <si>
    <t>NIV, True Images Bible</t>
  </si>
  <si>
    <t>The Bible for Teen Girls</t>
  </si>
  <si>
    <t>American Awakening</t>
  </si>
  <si>
    <t>Eight Principles to Restore the Soul of America</t>
  </si>
  <si>
    <t>SOCIAL SCIENCE / General</t>
  </si>
  <si>
    <t>John Kingston</t>
  </si>
  <si>
    <t>NIV, Presidential Prayers Bible</t>
  </si>
  <si>
    <t>The Newpointe 911 Collection</t>
  </si>
  <si>
    <t>Private Justice, Shadow of Doubt, Word of Honor, Trial by Fire, Line of Duty</t>
  </si>
  <si>
    <t>NIV, LifeConnect Study Bible</t>
  </si>
  <si>
    <t>Growing Deeper, Growing Stronger in Your Spiritual Life</t>
  </si>
  <si>
    <t>Soul Tracker</t>
  </si>
  <si>
    <t>The Soul Tracker Series</t>
  </si>
  <si>
    <t>The Problem of Jesus</t>
  </si>
  <si>
    <t>Answering a Skepticâ€™s Challenges to the Scandal of Jesus</t>
  </si>
  <si>
    <t>RELIGION / Christian Theology / Christology</t>
  </si>
  <si>
    <t>True Light</t>
  </si>
  <si>
    <t>A Restoration Novel</t>
  </si>
  <si>
    <t>The Vow</t>
  </si>
  <si>
    <t>A Novella</t>
  </si>
  <si>
    <t xml:space="preserve">YOUNG ADULT FICTION / Romance / General </t>
  </si>
  <si>
    <t>Jody Hedlund</t>
  </si>
  <si>
    <t>KJV, Believe</t>
  </si>
  <si>
    <t>BIBLES / King James Version / Reading</t>
  </si>
  <si>
    <t>On the Bright Side</t>
  </si>
  <si>
    <t>Stories About Friendship, Love, and Being True to Yourself</t>
  </si>
  <si>
    <t>NIV, Promises for Graduates</t>
  </si>
  <si>
    <t>If You Want to Walk on Water, You've Got to Get Out of the Boat</t>
  </si>
  <si>
    <t>John Ortberg</t>
  </si>
  <si>
    <t>The Case for a Creator</t>
  </si>
  <si>
    <t>NRSV, Cultural Backgrounds Study Bible</t>
  </si>
  <si>
    <t>BIBLES / New Revised Standard Version / Study</t>
  </si>
  <si>
    <t>BS191.5.A1 2019</t>
  </si>
  <si>
    <t>Sin Boldly</t>
  </si>
  <si>
    <t>A Field Guide for Grace</t>
  </si>
  <si>
    <t>Cathleen Falsani</t>
  </si>
  <si>
    <t>Dangerous Surrender</t>
  </si>
  <si>
    <t>What Happens When You Say Yes to God</t>
  </si>
  <si>
    <t>Kay Warren</t>
  </si>
  <si>
    <t>NIV, Once-A-Day: Devotional for Women</t>
  </si>
  <si>
    <t>Soul Detox</t>
  </si>
  <si>
    <t>Clean Living in a Contaminated World</t>
  </si>
  <si>
    <t>Thunder of Heaven</t>
  </si>
  <si>
    <t>A Joshua Jordan Novel</t>
  </si>
  <si>
    <t>Tim LaHaye-Craig Parshall</t>
  </si>
  <si>
    <t>The End Series</t>
  </si>
  <si>
    <t>Dawn's Light</t>
  </si>
  <si>
    <t>Multiple Blessings</t>
  </si>
  <si>
    <t>Surviving to Thriving with Twins and Sextuplets</t>
  </si>
  <si>
    <t>Jon and Kate Gosselin-Beth Carson</t>
  </si>
  <si>
    <t>Sacred Parenting</t>
  </si>
  <si>
    <t>How Raising Children Shapes Our Souls</t>
  </si>
  <si>
    <t>Parenting--Religious aspects--Christianity.,Parents--Religious life.</t>
  </si>
  <si>
    <t>Gary Thomas</t>
  </si>
  <si>
    <t>Unlikely Angel</t>
  </si>
  <si>
    <t>The Untold Story of the Atlanta Hostage Hero</t>
  </si>
  <si>
    <t>Ashley Smith-Stacy Mattingly</t>
  </si>
  <si>
    <t>Liking Jesus</t>
  </si>
  <si>
    <t>Intimacy and Contentment in a Selfie-Centered World</t>
  </si>
  <si>
    <t>God's Power to Change Your Life</t>
  </si>
  <si>
    <t>Living with Purpose</t>
  </si>
  <si>
    <t>God's Story, Your Story</t>
  </si>
  <si>
    <t>When His Becomes Yours</t>
  </si>
  <si>
    <t>365 Devotions for Hope</t>
  </si>
  <si>
    <t>Karen Whiting</t>
  </si>
  <si>
    <t>NIV, Once-A-Day: Devotional for Men</t>
  </si>
  <si>
    <t>Not a Fan Updated and Expanded</t>
  </si>
  <si>
    <t>Becoming a Completely Committed Follower of Jesus</t>
  </si>
  <si>
    <t>BV4501.3</t>
  </si>
  <si>
    <t>Christian life--Churches of Christ authors.</t>
  </si>
  <si>
    <t>When Love Returns</t>
  </si>
  <si>
    <t>An Amish Homecoming Story</t>
  </si>
  <si>
    <t>Loving Libby</t>
  </si>
  <si>
    <t>Finding God's Blessings in Brokenness</t>
  </si>
  <si>
    <t>How Pain Reveals His Deepest Love</t>
  </si>
  <si>
    <t>Saving Your Marriage Before It Starts</t>
  </si>
  <si>
    <t>Seven Questions to Ask Before -- and After -- You Marry</t>
  </si>
  <si>
    <t>Marriage--Religious aspects--Christianity.,Married people--Psychology.</t>
  </si>
  <si>
    <t>Les and Leslie Parrott</t>
  </si>
  <si>
    <t>In His Arms</t>
  </si>
  <si>
    <t>Threads of Silk</t>
  </si>
  <si>
    <t>Linda Lee Chaikin</t>
  </si>
  <si>
    <t>The Silk House Series</t>
  </si>
  <si>
    <t>Praying the Scriptures for Your Life</t>
  </si>
  <si>
    <t>31 Days of Abiding in the Presence, Provision, and Power of God</t>
  </si>
  <si>
    <t>Jodie Berndt</t>
  </si>
  <si>
    <t>What Every Bride Needs to Know</t>
  </si>
  <si>
    <t>The Most Important Year in a Woman's Life</t>
  </si>
  <si>
    <t>Susan DeVries-Bobbie Wolgemuth</t>
  </si>
  <si>
    <t>Faith Alone</t>
  </si>
  <si>
    <t>Martin Luther-James C. Galvin</t>
  </si>
  <si>
    <t>What on Earth Am I Here For?</t>
  </si>
  <si>
    <t>Sushi for One?</t>
  </si>
  <si>
    <t>FICTION / Cultural Heritage</t>
  </si>
  <si>
    <t>Camy Tang</t>
  </si>
  <si>
    <t>Sushi Series</t>
  </si>
  <si>
    <t>Sticks and Stones</t>
  </si>
  <si>
    <t>Using Your Words As a Positive Force</t>
  </si>
  <si>
    <t>Ace Collins</t>
  </si>
  <si>
    <t>Women of the Bible</t>
  </si>
  <si>
    <t>A One-Year Devotional Study</t>
  </si>
  <si>
    <t>Ann Spangler-Jean E. Syswerda</t>
  </si>
  <si>
    <t>Flickering Pixels</t>
  </si>
  <si>
    <t>How Technology Shapes Your Faith</t>
  </si>
  <si>
    <t>Shane Hipps</t>
  </si>
  <si>
    <t>Life-Changing Love</t>
  </si>
  <si>
    <t>Moving God's Love From Your Head to Your Heart</t>
  </si>
  <si>
    <t>NIV, Promises for You</t>
  </si>
  <si>
    <t>The Healer's Apprentice</t>
  </si>
  <si>
    <t>When to Walk Away</t>
  </si>
  <si>
    <t>Finding Freedom From Toxic People</t>
  </si>
  <si>
    <t>Mornings with Jesus 2017</t>
  </si>
  <si>
    <t>The Connecting Church</t>
  </si>
  <si>
    <t>Beyond Small Groups to Authentic Community</t>
  </si>
  <si>
    <t>RELIGION / Christian Ministry / General</t>
  </si>
  <si>
    <t>If Only He Knew</t>
  </si>
  <si>
    <t>A Valuable Guide to Knowing, Understanding, and Loving Your Wife</t>
  </si>
  <si>
    <t>Gary Smalley</t>
  </si>
  <si>
    <t>The Treasured Book</t>
  </si>
  <si>
    <t>An Amish Heirloom Novella</t>
  </si>
  <si>
    <t>Dead of Night</t>
  </si>
  <si>
    <t>Brandilyn Collins</t>
  </si>
  <si>
    <t>Hidden Faces Series</t>
  </si>
  <si>
    <t>Help, I Can't Stop Laughing!</t>
  </si>
  <si>
    <t>A Nonstop Collection of Life's Funniest Stories</t>
  </si>
  <si>
    <t>HUMOR / Form / Anecdotes &amp; Quotations</t>
  </si>
  <si>
    <t>Ann Spangler-Shari MacDonald</t>
  </si>
  <si>
    <t>Leading Life-Changing Small Groups</t>
  </si>
  <si>
    <t>BV652.2</t>
  </si>
  <si>
    <t>Church group work.,Church work.,Pastoral theology.,Small groups--Religious aspects--Christianity.</t>
  </si>
  <si>
    <t>Bill Donahue</t>
  </si>
  <si>
    <t>Emotionally Healthy Relationships Day by Day</t>
  </si>
  <si>
    <t>A 40-Day Journey to Deeply Change Your Relationships</t>
  </si>
  <si>
    <t>Peter Scazzero</t>
  </si>
  <si>
    <t>An Amish Christmas Wedding</t>
  </si>
  <si>
    <t>Four Stories</t>
  </si>
  <si>
    <t>Amy Clipston-Kelly Irvin-Kathleen Fuller-Vannetta Chapman</t>
  </si>
  <si>
    <t>The Spider Catcher</t>
  </si>
  <si>
    <t>Gilbert Morris</t>
  </si>
  <si>
    <t>Beyond Tuesday Morning</t>
  </si>
  <si>
    <t>Sequel to the Bestselling One Tuesday Morning</t>
  </si>
  <si>
    <t>9/11 Series</t>
  </si>
  <si>
    <t>Last Light</t>
  </si>
  <si>
    <t>Longing</t>
  </si>
  <si>
    <t>Bailey Flanigan Series</t>
  </si>
  <si>
    <t>Stories Behind Women of Extraordinary Faith</t>
  </si>
  <si>
    <t>Everybody's Normal Till You Get to Know Them</t>
  </si>
  <si>
    <t>Keep It Shut</t>
  </si>
  <si>
    <t>What to Say, How to Say It, and When to Say Nothing at All</t>
  </si>
  <si>
    <t>Between a Rock and a Grace Place</t>
  </si>
  <si>
    <t>Divine Surprises in the Tight Spots of Life</t>
  </si>
  <si>
    <t>Carol Kent</t>
  </si>
  <si>
    <t>Bryson City Tales</t>
  </si>
  <si>
    <t>Stories of a Doctor's First Year of Practice in the Smoky Mountains</t>
  </si>
  <si>
    <t>Walt Larimore, MD</t>
  </si>
  <si>
    <t>Listen, Love, Repeat</t>
  </si>
  <si>
    <t>Other-Centered Living in a Self-Centered World</t>
  </si>
  <si>
    <t>Valiant Hope</t>
  </si>
  <si>
    <t>FICTION / Religious</t>
  </si>
  <si>
    <t>Donna Fleisher</t>
  </si>
  <si>
    <t>Homeland Heroes</t>
  </si>
  <si>
    <t>Stuff Christians Like</t>
  </si>
  <si>
    <t>Jon Acuff</t>
  </si>
  <si>
    <t>Devotions for a Sacred Marriage</t>
  </si>
  <si>
    <t>A Year of Weekly Devotions for Couples</t>
  </si>
  <si>
    <t>Building Trust</t>
  </si>
  <si>
    <t>An Amish Family Novella</t>
  </si>
  <si>
    <t>The Prodigal</t>
  </si>
  <si>
    <t>A Ragamuffin Story</t>
  </si>
  <si>
    <t>Brennan Manning-Greg Garrett</t>
  </si>
  <si>
    <t>Living the God-First Life</t>
  </si>
  <si>
    <t>Stovall Weems</t>
  </si>
  <si>
    <t>God's Words of Life for Grandmothers</t>
  </si>
  <si>
    <t>God's Words of Life</t>
  </si>
  <si>
    <t>Chosen Ones</t>
  </si>
  <si>
    <t>The Case for Christ</t>
  </si>
  <si>
    <t>BT202 .S776 2016</t>
  </si>
  <si>
    <t>God's Words of Life for Fathers</t>
  </si>
  <si>
    <t>KJV, Beautiful Word Bible</t>
  </si>
  <si>
    <t>BIBLES / King James Version / Text</t>
  </si>
  <si>
    <t>An Amish Homecoming</t>
  </si>
  <si>
    <t>Amy Clipston-Beth Wiseman-Shelley Shepard Gray-Kathleen Fuller</t>
  </si>
  <si>
    <t>Boundaries Workbook</t>
  </si>
  <si>
    <t>When to Say Yes, How to Say No to Take Control of Your Life</t>
  </si>
  <si>
    <t>Golf's Sacred Journey</t>
  </si>
  <si>
    <t>Seven Days at the Links of Utopia</t>
  </si>
  <si>
    <t>David L. Cook</t>
  </si>
  <si>
    <t>The Joy of a Sacred Marriage</t>
  </si>
  <si>
    <t>Pearls of Great Price</t>
  </si>
  <si>
    <t>366 Daily Devotional Readings</t>
  </si>
  <si>
    <t>Joni Eareckson Tada</t>
  </si>
  <si>
    <t>It's Impossible to Be Spiritually Mature, While Remaining Emotionally Immature</t>
  </si>
  <si>
    <t>Taste and See</t>
  </si>
  <si>
    <t>Discovering God Among Butchers, Bakers, and Fresh Food Makers</t>
  </si>
  <si>
    <t>Spring Brides</t>
  </si>
  <si>
    <t>A Year of Weddings Novella Collection</t>
  </si>
  <si>
    <t>Rachel Hauck-Lenora Worth-Meg Moseley</t>
  </si>
  <si>
    <t>A Year of Weddings Novella</t>
  </si>
  <si>
    <t>Believe 365-Day Devotional</t>
  </si>
  <si>
    <t>What I Believe. Who I Am Becoming.</t>
  </si>
  <si>
    <t>Randy Frazee-Rozanne Frazee</t>
  </si>
  <si>
    <t>Where's Your Jesus Now?</t>
  </si>
  <si>
    <t>Karen Spears Zacharias</t>
  </si>
  <si>
    <t>Daily Guideposts: 25 Devotions for Advent</t>
  </si>
  <si>
    <t>Daniel Plan Journal</t>
  </si>
  <si>
    <t>40 Days to a Healthier Life</t>
  </si>
  <si>
    <t>The Daniel Plan</t>
  </si>
  <si>
    <t>Daily Guideposts 2019</t>
  </si>
  <si>
    <t>Seven More Men</t>
  </si>
  <si>
    <t>And the Secret of Their Greatness</t>
  </si>
  <si>
    <t>CT104 .M57 2020eb</t>
  </si>
  <si>
    <t>Leadership.,Success.</t>
  </si>
  <si>
    <t>Eric Metaxas-Anne Morse</t>
  </si>
  <si>
    <t>Undaunted Student Edition</t>
  </si>
  <si>
    <t>Daring to Do What God Calls You to Do</t>
  </si>
  <si>
    <t>NKJV, Believe</t>
  </si>
  <si>
    <t>BIBLES / New King James Version / Reading</t>
  </si>
  <si>
    <t>The Tender Words of God</t>
  </si>
  <si>
    <t>A Daily Guide</t>
  </si>
  <si>
    <t>Ann Spangler</t>
  </si>
  <si>
    <t>Betrayal</t>
  </si>
  <si>
    <t>Where The Heart Lives</t>
  </si>
  <si>
    <t>The Emotionally Healthy Woman</t>
  </si>
  <si>
    <t>Eight Things You Have to Quit to Change Your Life</t>
  </si>
  <si>
    <t>Geri Scazzero-Peter Scazzero</t>
  </si>
  <si>
    <t>Return to Me</t>
  </si>
  <si>
    <t>Spilt Milk</t>
  </si>
  <si>
    <t>Devotions for Moms</t>
  </si>
  <si>
    <t>Linda Vujnov</t>
  </si>
  <si>
    <t>NIV, Once-A-Day: Worship and Praise Devotional</t>
  </si>
  <si>
    <t>365 Days to Adore God</t>
  </si>
  <si>
    <t>God's Words of Life for Mothers</t>
  </si>
  <si>
    <t>Stories Behind the Best-Loved Songs of Christmas</t>
  </si>
  <si>
    <t>ML1400 .C62 2001eb</t>
  </si>
  <si>
    <t>Carols, English--History and criticism.,Christmas music--History and criticism.,Popular music--History and criticism.</t>
  </si>
  <si>
    <t>The Unexpected Adventure</t>
  </si>
  <si>
    <t>Taking Everyday Risks to Talk with People About Jesus</t>
  </si>
  <si>
    <t>Lee Strobel-Mark Mittelberg</t>
  </si>
  <si>
    <t>An Amish Reunion</t>
  </si>
  <si>
    <t>Amy Clipston-Beth Wiseman-Kathleen Fuller-Kelly Irvin</t>
  </si>
  <si>
    <t>Summer Brides</t>
  </si>
  <si>
    <t>Beth Wiseman-Marybeth Whalen-Debra Clopton</t>
  </si>
  <si>
    <t>Silver Birches</t>
  </si>
  <si>
    <t>FICTION / Fantasy / Paranormal</t>
  </si>
  <si>
    <t>Adrian Plass</t>
  </si>
  <si>
    <t>Bible Promises for You on Your Confirmation</t>
  </si>
  <si>
    <t>From the New International Version</t>
  </si>
  <si>
    <t>The Wishing Tree</t>
  </si>
  <si>
    <t>Marybeth Whalen</t>
  </si>
  <si>
    <t>A Sunset Beach Novel</t>
  </si>
  <si>
    <t>Understanding Spiritual Gifts</t>
  </si>
  <si>
    <t>A Comprehensive Guide</t>
  </si>
  <si>
    <t>Sam Storms</t>
  </si>
  <si>
    <t>NIV, Once-A-Day: Nurturing Great Kids Devotional</t>
  </si>
  <si>
    <t>365 Practical Insights for Parenting with Grace</t>
  </si>
  <si>
    <t>Dan Seaborn</t>
  </si>
  <si>
    <t>Love Talk Workbook for Women</t>
  </si>
  <si>
    <t>Speak Each Other's Language Like You Never Have Before</t>
  </si>
  <si>
    <t>Les Parrott-Leslie Parrott</t>
  </si>
  <si>
    <t>Frank and Beans</t>
  </si>
  <si>
    <t>Daily Guideposts 2021</t>
  </si>
  <si>
    <t>The Expeditionary Man</t>
  </si>
  <si>
    <t>The Adventure a Man Wants, the Leader His Family Needs</t>
  </si>
  <si>
    <t>Rich Wagner</t>
  </si>
  <si>
    <t>Fathers of the Bible</t>
  </si>
  <si>
    <t>A Devotional</t>
  </si>
  <si>
    <t>Robert Wolgemuth</t>
  </si>
  <si>
    <t>Cold Tangerines</t>
  </si>
  <si>
    <t>Celebrating the Extraordinary Nature of Everyday Life</t>
  </si>
  <si>
    <t>You Are the Girl for the Job</t>
  </si>
  <si>
    <t>Daring to Believe the God Who Calls You</t>
  </si>
  <si>
    <t>Saving Your Marriage Before It Starts Devotional</t>
  </si>
  <si>
    <t>52 Meditations for Spiritual Intimacy</t>
  </si>
  <si>
    <t>10 Minutes in the Word: Psalms</t>
  </si>
  <si>
    <t>10 Minutes in the Word</t>
  </si>
  <si>
    <t>The Navy Justice Collection</t>
  </si>
  <si>
    <t>Treason, Hostage, Defiance</t>
  </si>
  <si>
    <t>Don Brown</t>
  </si>
  <si>
    <t>The Navy Justice Series</t>
  </si>
  <si>
    <t>Healing the Wounds of Sexual Addiction</t>
  </si>
  <si>
    <t>SELF-HELP / Compulsive Behavior / Sex &amp; Pornography Addiction</t>
  </si>
  <si>
    <t>BV4596.S42 L32 2009eb</t>
  </si>
  <si>
    <t>Sex addiction--Religious aspects--Christianity.,Sex addiction--Treatment.,Sex addicts--Rehabilitation.,Sex addicts--Religious life.</t>
  </si>
  <si>
    <t>Mark Laaser</t>
  </si>
  <si>
    <t>EPub ed</t>
  </si>
  <si>
    <t>The Homeplace</t>
  </si>
  <si>
    <t>Singing River Series</t>
  </si>
  <si>
    <t>The Dream</t>
  </si>
  <si>
    <t>Little Lion's Bible</t>
  </si>
  <si>
    <t>Furry Bible Stories</t>
  </si>
  <si>
    <t>Artificial Intelligence and the Future of Humanity</t>
  </si>
  <si>
    <t>BL265.I54 L46 2020eb</t>
  </si>
  <si>
    <t>Artificial intelligence--Religious aspects.,Eschatology.,Forecasting--Religious aspects.,Information technology--Religious aspects.</t>
  </si>
  <si>
    <t>The Myth of a Christian Nation</t>
  </si>
  <si>
    <t>How the Quest for Political Power Is Destroying the Church</t>
  </si>
  <si>
    <t>Gregory A. Boyd</t>
  </si>
  <si>
    <t>The Case for Christ Graduate Edition</t>
  </si>
  <si>
    <t>A Journalistâ€™s Personal Investigation of the Evidence for Jesus</t>
  </si>
  <si>
    <t>Learning</t>
  </si>
  <si>
    <t>Fixing My Eyes on Jesus</t>
  </si>
  <si>
    <t>Daily Moments in His Word</t>
  </si>
  <si>
    <t>What on Earth Am I Here For? Purpose Driven Life</t>
  </si>
  <si>
    <t>Dangerous Prayers</t>
  </si>
  <si>
    <t>Because Following Jesus Was Never Meant to Be Safe</t>
  </si>
  <si>
    <t>The Courtship</t>
  </si>
  <si>
    <t>Dark Power Collection</t>
  </si>
  <si>
    <t xml:space="preserve">YOUNG ADULT FICTION / Paranormal, Occult &amp; Supernatural </t>
  </si>
  <si>
    <t>Forbidden Doors</t>
  </si>
  <si>
    <t>Safe People</t>
  </si>
  <si>
    <t>How to Find Relationships That Are Good for You and Avoid Those That Aren't</t>
  </si>
  <si>
    <t>Listening to Love</t>
  </si>
  <si>
    <t>An Amish Journey Novel</t>
  </si>
  <si>
    <t>KJV, The Story</t>
  </si>
  <si>
    <t>Tour De Force</t>
  </si>
  <si>
    <t>Elizabeth White</t>
  </si>
  <si>
    <t>Pathway to Purpose for Women</t>
  </si>
  <si>
    <t>Connecting Your To-Do List, Your Passions, and Godâ€™s Purposes for Your Life</t>
  </si>
  <si>
    <t>The Mulligan</t>
  </si>
  <si>
    <t>A Parable of Second Chances</t>
  </si>
  <si>
    <t>Ken Blanchard-Wally Armstrong</t>
  </si>
  <si>
    <t>Tactics Study Guide, Updated and Expanded</t>
  </si>
  <si>
    <t>A Guide to Effectively Discussing Your Christian Convictions</t>
  </si>
  <si>
    <t>BT1103 .K68 2020</t>
  </si>
  <si>
    <t>Gregory Koukl</t>
  </si>
  <si>
    <t>Sitting at the Feet of Rabbi Jesus</t>
  </si>
  <si>
    <t>How the Jewishness of Jesus Can Transform Your Faith</t>
  </si>
  <si>
    <t>Ann Spangler-Lois Tverberg</t>
  </si>
  <si>
    <t>Shattered Vows</t>
  </si>
  <si>
    <t>Hope and Healing for Women Who Have Been Sexually Betrayed</t>
  </si>
  <si>
    <t>Debra Laaser</t>
  </si>
  <si>
    <t>Beyond Boundaries</t>
  </si>
  <si>
    <t>Learning to Trust Again in Relationships</t>
  </si>
  <si>
    <t>BV4597.53.I55</t>
  </si>
  <si>
    <t>Intimacy (Psychology)--Religious aspects--Christianity.,Loss (Psychology)--Religious aspects--Christianity.,Risk-taking (Psychology)--Religious aspects--Christianity.</t>
  </si>
  <si>
    <t>John Townsend</t>
  </si>
  <si>
    <t>The Parent You Want to Be</t>
  </si>
  <si>
    <t>Who You Are Matters More Than What You Do</t>
  </si>
  <si>
    <t>Better Decisions, Fewer Regrets</t>
  </si>
  <si>
    <t>5 Questions to Help You Determine Your Next Move</t>
  </si>
  <si>
    <t>A Shepherd Looks at Psalm 23</t>
  </si>
  <si>
    <t>W. Phillip Keller</t>
  </si>
  <si>
    <t>Timeless Faith Classics</t>
  </si>
  <si>
    <t>On Your Confirmation Promises for Girls</t>
  </si>
  <si>
    <t>Praying Circles Around Your Children</t>
  </si>
  <si>
    <t>When the Game Is Over, It All Goes Back in the Box</t>
  </si>
  <si>
    <t>RELIGION / Christian Education / General</t>
  </si>
  <si>
    <t>Present Over Perfect</t>
  </si>
  <si>
    <t>Leaving Behind Frantic for a Simpler, More Soulful Way of Living</t>
  </si>
  <si>
    <t>Mothers of the Bible</t>
  </si>
  <si>
    <t>Streams in the Desert</t>
  </si>
  <si>
    <t>The Faith</t>
  </si>
  <si>
    <t>What Christians Believe, Why They Believe It, and Why It Matters</t>
  </si>
  <si>
    <t>Charles W. Colson-Harold Fickett III</t>
  </si>
  <si>
    <t>Invisible Terror Collection</t>
  </si>
  <si>
    <t>A Dream So Big</t>
  </si>
  <si>
    <t>Our Unlikely Journey to End the Tears of Hunger</t>
  </si>
  <si>
    <t>Steve Peifer-Gregg Lewis</t>
  </si>
  <si>
    <t>The Best Is Yet to Come</t>
  </si>
  <si>
    <t>60 Devotions</t>
  </si>
  <si>
    <t>Fran Fernandez</t>
  </si>
  <si>
    <t>Web of Lies</t>
  </si>
  <si>
    <t>WEIRD</t>
  </si>
  <si>
    <t>Because Normal Isnâ€™t Working</t>
  </si>
  <si>
    <t>Daring Chloe</t>
  </si>
  <si>
    <t>Laura Jensen Walker</t>
  </si>
  <si>
    <t>Getaway Girls</t>
  </si>
  <si>
    <t>Men of the Bible</t>
  </si>
  <si>
    <t>A One-Year Devotional Study of Men in Scripture</t>
  </si>
  <si>
    <t>Ann Spangler-Robert Wolgemuth</t>
  </si>
  <si>
    <t>Brink of Death</t>
  </si>
  <si>
    <t>Life in Defiance</t>
  </si>
  <si>
    <t>Mary E DeMuth</t>
  </si>
  <si>
    <t>Defiance Texas Trilogy</t>
  </si>
  <si>
    <t>Behold the Man</t>
  </si>
  <si>
    <t>Bodie Thoene-Brock Thoene</t>
  </si>
  <si>
    <t>The Jerusalem Chronicles</t>
  </si>
  <si>
    <t>Solution-Focused Pastoral Counseling</t>
  </si>
  <si>
    <t>An Effective Short-term Approach for Getting People Back on Track</t>
  </si>
  <si>
    <t>Charles Allen Kollar</t>
  </si>
  <si>
    <t>Seven Desires</t>
  </si>
  <si>
    <t>Looking Past What Separates Us to Learn What Connects Us</t>
  </si>
  <si>
    <t>Mark Laaser-Debra Laaser</t>
  </si>
  <si>
    <t>Godâ€™s Handmaiden</t>
  </si>
  <si>
    <t>Be Unstoppable</t>
  </si>
  <si>
    <t>The Art of Never Giving Up</t>
  </si>
  <si>
    <t xml:space="preserve">YOUNG ADULT NONFICTION / Girls &amp; Women </t>
  </si>
  <si>
    <t>Bethany Hamilton</t>
  </si>
  <si>
    <t>Lose Your Cool, Revised and Expanded Edition</t>
  </si>
  <si>
    <t>Discovering a Passion That Changes You and the World</t>
  </si>
  <si>
    <t>Day-votions for Women</t>
  </si>
  <si>
    <t>Heart to Heart Encouragement</t>
  </si>
  <si>
    <t>Rebecca Barlow Jordan</t>
  </si>
  <si>
    <t>Day-votions</t>
  </si>
  <si>
    <t>The Me I Want to Be, Teen Edition</t>
  </si>
  <si>
    <t>Becoming God's Best Version of You</t>
  </si>
  <si>
    <t>John Ortberg-Scott Rubin</t>
  </si>
  <si>
    <t>As We Forgive</t>
  </si>
  <si>
    <t>Stories of Reconciliation From Rwanda</t>
  </si>
  <si>
    <t>HISTORY / Africa / Central</t>
  </si>
  <si>
    <t>The Prophecy</t>
  </si>
  <si>
    <t>Dawn Miller</t>
  </si>
  <si>
    <t>The Watchers Chronicles</t>
  </si>
  <si>
    <t>Joel</t>
  </si>
  <si>
    <t>Joel Sonnenberg-Gregg Lewis</t>
  </si>
  <si>
    <t>Bryson City Secrets</t>
  </si>
  <si>
    <t>Even More Tales of a Small-Town Doctor in the Smoky Mountains</t>
  </si>
  <si>
    <t>Love Talk Workbook for Men</t>
  </si>
  <si>
    <t>In Defense of Jesus</t>
  </si>
  <si>
    <t>Investigating Attacks on the Identity of Christ</t>
  </si>
  <si>
    <t>I Hope You Dance</t>
  </si>
  <si>
    <t>A July Wedding Story</t>
  </si>
  <si>
    <t>What Every Mom Needs</t>
  </si>
  <si>
    <t>Elisa Morgan-Carol Kuykendall</t>
  </si>
  <si>
    <t>Black Sea Affair</t>
  </si>
  <si>
    <t>The Amish Brides of Birch Creek Collection</t>
  </si>
  <si>
    <t>The Teacher's Bride, The Farmer's Bride, The Innkeeper's Bride</t>
  </si>
  <si>
    <t>Reaching for the Invisible God Study Guide</t>
  </si>
  <si>
    <t>Evening by Evening</t>
  </si>
  <si>
    <t>The Devotions of Charles Spurgeon</t>
  </si>
  <si>
    <t>Jim Reimann</t>
  </si>
  <si>
    <t>A December Bride</t>
  </si>
  <si>
    <t>The Me I Want to Be</t>
  </si>
  <si>
    <t>All In Student Edition</t>
  </si>
  <si>
    <t xml:space="preserve">YOUNG ADULT NONFICTION / Religious / Christian / General </t>
  </si>
  <si>
    <t>Mark Batterson-Parker Batterson</t>
  </si>
  <si>
    <t>The Case for Miracles</t>
  </si>
  <si>
    <t>A Journalist Investigates Evidence for the Supernatural</t>
  </si>
  <si>
    <t>The First Drop of Rain</t>
  </si>
  <si>
    <t>Double Minds</t>
  </si>
  <si>
    <t>Soul Keeping</t>
  </si>
  <si>
    <t>Caring For the Most Important Part of You</t>
  </si>
  <si>
    <t>Boundaries with Teens</t>
  </si>
  <si>
    <t>When to Say Yes, How to Say No</t>
  </si>
  <si>
    <t>BV4529 .T685 2021</t>
  </si>
  <si>
    <t>Child rearing--Religious aspects--Christianity.,Parent and teenager--Religious aspects--Christianity.,Parenting--Religious aspects--Christianity.,Teenagers--Conduct of life.</t>
  </si>
  <si>
    <t>Strength and Courage for Caregivers</t>
  </si>
  <si>
    <t>30 Hope-Filled Morning and Evening Reflections</t>
  </si>
  <si>
    <t>Terry Hargrave</t>
  </si>
  <si>
    <t>Cakes and Kisses</t>
  </si>
  <si>
    <t>An Amish Christmas Bakery Story</t>
  </si>
  <si>
    <t>Lessons on the Way to Heaven</t>
  </si>
  <si>
    <t>What My Father Taught Me</t>
  </si>
  <si>
    <t>Praying the Names of Jesus</t>
  </si>
  <si>
    <t>*</t>
  </si>
  <si>
    <t>The Life You've Always Wanted</t>
  </si>
  <si>
    <t>Spiritual Disciplines for Ordinary People</t>
  </si>
  <si>
    <t>BV4501.2</t>
  </si>
  <si>
    <t>A Mother's Secret</t>
  </si>
  <si>
    <t>Hearts of the Lancaster Grand Hotel</t>
  </si>
  <si>
    <t>The Miracle</t>
  </si>
  <si>
    <t>A Faith and Culture Devotional</t>
  </si>
  <si>
    <t>Daily Reading on Art, Science, and Life</t>
  </si>
  <si>
    <t>Kelly Monroe Kullberg-Lael Arrington</t>
  </si>
  <si>
    <t>The Most Important Year in a Woman's Life/The Most Important Year in a Man's Life</t>
  </si>
  <si>
    <t>What Every Bride Needs to Know/What Every Groom Needs to Know</t>
  </si>
  <si>
    <t>Robert Wolgemuth-Mark DeVries-Susan DeVries-Bobbie Wolgemuth</t>
  </si>
  <si>
    <t>The Case for the Real Jesus</t>
  </si>
  <si>
    <t>A Journalist Investigates Current Attacks on the Identity of Christ</t>
  </si>
  <si>
    <t>BT303.2 .S77 2007eb</t>
  </si>
  <si>
    <t>Spirit Hunger</t>
  </si>
  <si>
    <t>Filling Our Deep Longing to Connect with God</t>
  </si>
  <si>
    <t>Gari Meacham</t>
  </si>
  <si>
    <t>Beloved</t>
  </si>
  <si>
    <t>Violet Dawn</t>
  </si>
  <si>
    <t>Kanner Lake Series</t>
  </si>
  <si>
    <t>The Cape Refuge</t>
  </si>
  <si>
    <t>Cape Refuge Series</t>
  </si>
  <si>
    <t>She's Still There</t>
  </si>
  <si>
    <t>Rescuing the Girl in You</t>
  </si>
  <si>
    <t>Chrystal Evans Hurst</t>
  </si>
  <si>
    <t>The Circle Maker</t>
  </si>
  <si>
    <t>Praying Circles Around Your Biggest Dreams and Greatest Fears</t>
  </si>
  <si>
    <t>BV215</t>
  </si>
  <si>
    <t>Your Time-Starved Marriage</t>
  </si>
  <si>
    <t>How to Stay Connected at the Speed of Life</t>
  </si>
  <si>
    <t>God's Outrageous Claims</t>
  </si>
  <si>
    <t>Thirteen Discoveries That Can Transform Your Life</t>
  </si>
  <si>
    <t>The Promise</t>
  </si>
  <si>
    <t>Jane Peart</t>
  </si>
  <si>
    <t>The American Quilt Series</t>
  </si>
  <si>
    <t>A Lifetime of Wisdom</t>
  </si>
  <si>
    <t>Embracing the Way God Heals You</t>
  </si>
  <si>
    <t>365 Devotions for a Thankful Heart</t>
  </si>
  <si>
    <t>The Deity Formerly Known As God</t>
  </si>
  <si>
    <t>Jarrett Stevens</t>
  </si>
  <si>
    <t>Real Relationships</t>
  </si>
  <si>
    <t>From Bad to Better and Good to Great</t>
  </si>
  <si>
    <t>My Friends</t>
  </si>
  <si>
    <t>Kurt Johnston-Mark Oestreicher</t>
  </si>
  <si>
    <t>Middle School Survival Series</t>
  </si>
  <si>
    <t>KJV, Teen Study Bible</t>
  </si>
  <si>
    <t>BIBLES / King James Version / Youth &amp; Teen</t>
  </si>
  <si>
    <t>Spiritual Arts</t>
  </si>
  <si>
    <t>Mastering the Disciplines for a Rich Spiritual Life</t>
  </si>
  <si>
    <t>Jill Briscoe</t>
  </si>
  <si>
    <t>Winning the War in Your Mind</t>
  </si>
  <si>
    <t>Change Your Thinking, Change Your Life</t>
  </si>
  <si>
    <t>BV4598.4</t>
  </si>
  <si>
    <t>Awareness--Religious aspects--Christianity.,Christian life.,Mental health--Religious aspects--Christianity.,Thought and thinking--Religious aspects--Christianity.</t>
  </si>
  <si>
    <t>Where the Heart Is</t>
  </si>
  <si>
    <t>An Amish Sweethearts Novella</t>
  </si>
  <si>
    <t>Line of Duty</t>
  </si>
  <si>
    <t>Seven</t>
  </si>
  <si>
    <t>The Deadly Sins and The Beattitudes</t>
  </si>
  <si>
    <t>Jeff V. Cook</t>
  </si>
  <si>
    <t>Boundaries in Marriage</t>
  </si>
  <si>
    <t>Understanding the Choices That Make or Break Loving Relationships</t>
  </si>
  <si>
    <t>Winter Brides</t>
  </si>
  <si>
    <t>Denise Hunter-Deborah Raney-Betsy St. Amant</t>
  </si>
  <si>
    <t>Holy Ground</t>
  </si>
  <si>
    <t>Walking with Jesus As a Former Catholic</t>
  </si>
  <si>
    <t>Christopher A. Castaldo</t>
  </si>
  <si>
    <t>Follower</t>
  </si>
  <si>
    <t>Becoming More Than Just a Fan of Jesus</t>
  </si>
  <si>
    <t>When Good Men Are Tempted</t>
  </si>
  <si>
    <t>William Perkins</t>
  </si>
  <si>
    <t>Love Talk</t>
  </si>
  <si>
    <t>BT705.8</t>
  </si>
  <si>
    <t>Interpersonal communication--Religious aspects--Christianity.,Love--Religious aspects--Christianity.,Man-woman relationships--Religious aspects--Christianity.</t>
  </si>
  <si>
    <t>The Princess Spy</t>
  </si>
  <si>
    <t xml:space="preserve">YOUNG ADULT FICTION / Romance / Clean &amp; Wholesome </t>
  </si>
  <si>
    <t>Unwrapping Christmas</t>
  </si>
  <si>
    <t>Lori Copeland</t>
  </si>
  <si>
    <t>The King Jesus Gospel</t>
  </si>
  <si>
    <t>The Original Good News Revisited</t>
  </si>
  <si>
    <t>Ancient Forces Collection</t>
  </si>
  <si>
    <t>The Act of Marriage</t>
  </si>
  <si>
    <t>The Beauty of Sexual Love</t>
  </si>
  <si>
    <t>Tim LaHaye</t>
  </si>
  <si>
    <t>Sacred Pathways</t>
  </si>
  <si>
    <t>Nine Ways to Connect with God</t>
  </si>
  <si>
    <t>God (Christianity)--Worship and love.,Spiritual life--Christianity.,Temperament--Religious aspects--Christianity.</t>
  </si>
  <si>
    <t>Truth Plus Love</t>
  </si>
  <si>
    <t>The Jesus Way to Influence</t>
  </si>
  <si>
    <t>Matt Brown</t>
  </si>
  <si>
    <t>Wagered Heart</t>
  </si>
  <si>
    <t>Even Now</t>
  </si>
  <si>
    <t>Lost Love Series</t>
  </si>
  <si>
    <t>Oceans Apart</t>
  </si>
  <si>
    <t>The Zondervan 2017 Pastor's Annual</t>
  </si>
  <si>
    <t>NIV, The Story: Student Edition (Enhanced Edition)</t>
  </si>
  <si>
    <t>The 28-Day Prayer Journey</t>
  </si>
  <si>
    <t>A Daily Guide to Conversations with God</t>
  </si>
  <si>
    <t>Rest</t>
  </si>
  <si>
    <t>Living in Sabbath Simplicity</t>
  </si>
  <si>
    <t>Keri Wyatt Kent</t>
  </si>
  <si>
    <t>Who Is This Man?</t>
  </si>
  <si>
    <t>The Unpredictable Impact of the Inescapable Jesus</t>
  </si>
  <si>
    <t>Remember Tuesday Morning</t>
  </si>
  <si>
    <t>Charade</t>
  </si>
  <si>
    <t>The Almost True Story of Ryan Fisher</t>
  </si>
  <si>
    <t>Rob Stennett</t>
  </si>
  <si>
    <t>The Case for Grace Student Edition</t>
  </si>
  <si>
    <t>A Journalist Explores the Evidence of Transformed Lives</t>
  </si>
  <si>
    <t>On Your Confirmation Promises for Guys</t>
  </si>
  <si>
    <t>The Promise Box</t>
  </si>
  <si>
    <t>Tricia Goyer</t>
  </si>
  <si>
    <t>Seven Brides for Seven Bachelors</t>
  </si>
  <si>
    <t>The Winter of Candy Canes</t>
  </si>
  <si>
    <t xml:space="preserve">YOUNG ADULT FICTION / Religious / Christian / Relationships </t>
  </si>
  <si>
    <t>Debbie ViguiÃ©</t>
  </si>
  <si>
    <t>A Sweet Seasons Novel</t>
  </si>
  <si>
    <t>The Case for Christmas</t>
  </si>
  <si>
    <t>A Journalist Investigates the Identity of the Child in the Manger</t>
  </si>
  <si>
    <t>God Is Closer Than You Think</t>
  </si>
  <si>
    <t>Now and Always</t>
  </si>
  <si>
    <t>Written on Silk</t>
  </si>
  <si>
    <t>Morning by Morning</t>
  </si>
  <si>
    <t>Sacred Marriage</t>
  </si>
  <si>
    <t>What If God Designed Marriage to Make Us Holy More Than to Make Us Happy?</t>
  </si>
  <si>
    <t>BV4596.M3</t>
  </si>
  <si>
    <t>Marriage--Religious aspects--Christianity.,Religion.,Spiritual life--Christianity.,Spouses--Religious life--Christianity.</t>
  </si>
  <si>
    <t>The Story of Reality Study Guide</t>
  </si>
  <si>
    <t>How the World Began, How It Ends, and Everything Important That Happens in Between</t>
  </si>
  <si>
    <t>Streams for Teens</t>
  </si>
  <si>
    <t>Thoughts on Seeking Godâ€™s Will and Direction</t>
  </si>
  <si>
    <t>My Beautiful Idol</t>
  </si>
  <si>
    <t>Pete Gall</t>
  </si>
  <si>
    <t>Daisy Chain</t>
  </si>
  <si>
    <t>Perfect</t>
  </si>
  <si>
    <t>PS3561.R2875 P47 2008eb</t>
  </si>
  <si>
    <t>Traffic accident investigation--Fiction.</t>
  </si>
  <si>
    <t>Harry Kraus</t>
  </si>
  <si>
    <t>Take the Risk</t>
  </si>
  <si>
    <t>Learning to Identify, Choose, and Live with Acceptable Risk</t>
  </si>
  <si>
    <t>Ben Carson, M.D.-Gregg Lewis</t>
  </si>
  <si>
    <t>Ever After</t>
  </si>
  <si>
    <t>Real Questions, Real Answers About Sex</t>
  </si>
  <si>
    <t>The Complete Guide to Intimacy As God Intended</t>
  </si>
  <si>
    <t>Melissa McBurney</t>
  </si>
  <si>
    <t>HEALTH &amp; FITNESS / Diet &amp; Nutrition / Diets</t>
  </si>
  <si>
    <t>RM218.7 .D36 2013eb</t>
  </si>
  <si>
    <t>Church group work--Case studies.,Functional foods.,Nutrition counseling.,Nutrition--Religious aspects--Christianity.,Self-help groups--Activity programs.</t>
  </si>
  <si>
    <t>Rick Warren-Dr. Daniel Amen-Dr. Mark Hyman</t>
  </si>
  <si>
    <t>Finding Faith---A Search for What Makes Sense</t>
  </si>
  <si>
    <t>Brian D. McLaren</t>
  </si>
  <si>
    <t>Finding Faith</t>
  </si>
  <si>
    <t>Deadlock</t>
  </si>
  <si>
    <t>James Scott Bell</t>
  </si>
  <si>
    <t>Transformational Architecture</t>
  </si>
  <si>
    <t>Reshaping Our Lives As Narrative</t>
  </si>
  <si>
    <t>Ron Martoia</t>
  </si>
  <si>
    <t>Fresh Wind, Fresh Fire</t>
  </si>
  <si>
    <t>What Happens When God's Spirit Invades the Hearts of His People</t>
  </si>
  <si>
    <t>Jim Cymbala-Dean Merrill</t>
  </si>
  <si>
    <t>The Voice</t>
  </si>
  <si>
    <t>Listening for Godâ€™s Voice and Finding Your Own</t>
  </si>
  <si>
    <t>Sandi Patty-Cindy Lambert</t>
  </si>
  <si>
    <t>Sarah Palin</t>
  </si>
  <si>
    <t>A New Kind of Leader</t>
  </si>
  <si>
    <t>BIOGRAPHY &amp; AUTOBIOGRAPHY / Political</t>
  </si>
  <si>
    <t>Joe Hilley</t>
  </si>
  <si>
    <t>Face to Face: Praying the Scriptures for Spiritual Growth</t>
  </si>
  <si>
    <t>Face to Face / Spiritual Growth</t>
  </si>
  <si>
    <t>The Myth of a Christian Religion</t>
  </si>
  <si>
    <t>Losing Your Religion for the Beauty of a Revolution</t>
  </si>
  <si>
    <t>Gum, Geckos, and God</t>
  </si>
  <si>
    <t>A Familyâ€™s Adventure in Space, Time, and Faith</t>
  </si>
  <si>
    <t>James S. Spiegel</t>
  </si>
  <si>
    <t>The Fall of Candy Corn</t>
  </si>
  <si>
    <t>Men and Women</t>
  </si>
  <si>
    <t>Enjoying the Difference</t>
  </si>
  <si>
    <t>The Christmas Lamp</t>
  </si>
  <si>
    <t>How to Fight Racism Study Guide</t>
  </si>
  <si>
    <t>Courageous Christianity and the Journey Toward Racial Justice</t>
  </si>
  <si>
    <t>HT1521</t>
  </si>
  <si>
    <t>Anti-racism.,Christian life.,Race relations--Religious aspects--Christianity.,Race--Religious aspects--Christianity.,Racial justice.,Racism--Religious aspects--Christianity.</t>
  </si>
  <si>
    <t>Presumed Guilty</t>
  </si>
  <si>
    <t>Exposure</t>
  </si>
  <si>
    <t>From Success to Significance</t>
  </si>
  <si>
    <t>When the Pursuit of Success Isnâ€™t Enough</t>
  </si>
  <si>
    <t>Lloyd Reeb</t>
  </si>
  <si>
    <t>Why I Am Still Surprised by the Power of the Spirit</t>
  </si>
  <si>
    <t>Discovering How God Speaks and Heals Today</t>
  </si>
  <si>
    <t>BT732.5</t>
  </si>
  <si>
    <t>Gifts, Spiritual.,Spiritual healing.</t>
  </si>
  <si>
    <t>Jack S. Deere</t>
  </si>
  <si>
    <t>Meant for Good</t>
  </si>
  <si>
    <t>The Adventure of Trusting God and His Plans for You</t>
  </si>
  <si>
    <t>Megan Fate Marshman</t>
  </si>
  <si>
    <t>You Are Free</t>
  </si>
  <si>
    <t>Be Who You Already Are</t>
  </si>
  <si>
    <t>Farraday Road</t>
  </si>
  <si>
    <t>Lije Evans Mysteries</t>
  </si>
  <si>
    <t>God's Answers to Life's Difficult Questions</t>
  </si>
  <si>
    <t>Sacred Marriage Gift Edition</t>
  </si>
  <si>
    <t>Deadly Loyalty Collection</t>
  </si>
  <si>
    <t>Look Unto Me</t>
  </si>
  <si>
    <t>Stories Behind the Traditions and Songs of Easter</t>
  </si>
  <si>
    <t>Devotions for Sacred Parenting</t>
  </si>
  <si>
    <t>A Year of Weekly Devotions for Parents</t>
  </si>
  <si>
    <t>Return Policy</t>
  </si>
  <si>
    <t>Michael Snyder</t>
  </si>
  <si>
    <t>The Myth of Happiness</t>
  </si>
  <si>
    <t>Praying the Names of God</t>
  </si>
  <si>
    <t>One Tuesday Morning</t>
  </si>
  <si>
    <t>Better Together</t>
  </si>
  <si>
    <t>Life Is Best with a Friend Like You</t>
  </si>
  <si>
    <t>PHOTOGRAPHY / Subjects &amp; Themes / Plants &amp; Animals</t>
  </si>
  <si>
    <t>NKJV, Teen Study Bible</t>
  </si>
  <si>
    <t>Hostage</t>
  </si>
  <si>
    <t>O Holy Night</t>
  </si>
  <si>
    <t>An Amish Singing Story</t>
  </si>
  <si>
    <t>Covenant of War</t>
  </si>
  <si>
    <t>Cliff Graham</t>
  </si>
  <si>
    <t>Lion of War Series</t>
  </si>
  <si>
    <t>The Beautiful Word</t>
  </si>
  <si>
    <t>Revealing the Goodness of Scripture</t>
  </si>
  <si>
    <t>The Color of Compromise Study Guide</t>
  </si>
  <si>
    <t>The Truth About the American Church's Complicity in Racism</t>
  </si>
  <si>
    <t>Dance, Stand, Run</t>
  </si>
  <si>
    <t>The God-Inspired Moves of a Woman on Holy Ground</t>
  </si>
  <si>
    <t>365 Devotions for Young Women</t>
  </si>
  <si>
    <t>Palau</t>
  </si>
  <si>
    <t>A Life on Fire</t>
  </si>
  <si>
    <t>BV3785.P32</t>
  </si>
  <si>
    <t>Evangelists--Biography.</t>
  </si>
  <si>
    <t>Luis Palau-Paul J. Pastor</t>
  </si>
  <si>
    <t>Mirror to the Church</t>
  </si>
  <si>
    <t>Resurrecting Faith After Genocide in Rwanda</t>
  </si>
  <si>
    <t>BR1443.R95</t>
  </si>
  <si>
    <t>Christian life.,Genocide--Rwanda--History--20th century.</t>
  </si>
  <si>
    <t>Emmanuel M. Katongole-Jonathan Wilson-Hartgrove</t>
  </si>
  <si>
    <t>The Ultimate Guys' Body Book</t>
  </si>
  <si>
    <t>Not-So-Stupid Questions About Your Body</t>
  </si>
  <si>
    <t>Surviving Information Overload</t>
  </si>
  <si>
    <t>The Clear, Practical Guide to Help You Stay on Top of What You Need to Know</t>
  </si>
  <si>
    <t>Kevin A. Miller</t>
  </si>
  <si>
    <t>Promises for Mothers</t>
  </si>
  <si>
    <t>Promises for â€¦</t>
  </si>
  <si>
    <t>The Sacredness of Questioning Everything</t>
  </si>
  <si>
    <t>David Dark</t>
  </si>
  <si>
    <t>When Answers Aren't Enough</t>
  </si>
  <si>
    <t>Experiencing God As Good When Life Isnâ€™t</t>
  </si>
  <si>
    <t>Matt Rogers</t>
  </si>
  <si>
    <t>How People Grow</t>
  </si>
  <si>
    <t>What the Bible Reveals About Personal Growth</t>
  </si>
  <si>
    <t>BV4598.2</t>
  </si>
  <si>
    <t>Amplified Bible</t>
  </si>
  <si>
    <t>BIBLES / The Amplified Bible / Text</t>
  </si>
  <si>
    <t>Promises for Men</t>
  </si>
  <si>
    <t>RELIGION / Biblical Meditations / General</t>
  </si>
  <si>
    <t>Stain of Guilt</t>
  </si>
  <si>
    <t>Reaching for the Invisible God</t>
  </si>
  <si>
    <t>What Can We Expect to Find?</t>
  </si>
  <si>
    <t>The Zondervan 2022 Pastor's Annual</t>
  </si>
  <si>
    <t>Dark Pursuit</t>
  </si>
  <si>
    <t>The Jesus I Never Knew</t>
  </si>
  <si>
    <t>BT202 .Y33 2008eb</t>
  </si>
  <si>
    <t>The Jesus I Never Knew Study Guide</t>
  </si>
  <si>
    <t>Emotionally Healthy Spirituality Day by Day</t>
  </si>
  <si>
    <t>A 40-Day Journey with the Daily Office</t>
  </si>
  <si>
    <t>Devotional calendars.,Devotional exercises.,Spiritual life--Christianity.,Spirituality.</t>
  </si>
  <si>
    <t>Present Over Perfect Guided Journal</t>
  </si>
  <si>
    <t>Journey to a Simpler, More Soulful Life</t>
  </si>
  <si>
    <t>Standing Strong</t>
  </si>
  <si>
    <t>What Southern Women Know About Faith</t>
  </si>
  <si>
    <t>Kitchen Table Stories and Back Porch Comfort</t>
  </si>
  <si>
    <t>Ronda Rich</t>
  </si>
  <si>
    <t>Turning the Paige</t>
  </si>
  <si>
    <t>Into God's Presence</t>
  </si>
  <si>
    <t>Listening to God Through Prayer and Meditation</t>
  </si>
  <si>
    <t>Liz Babbs</t>
  </si>
  <si>
    <t>Stories Behind the Great Traditions of Christmas</t>
  </si>
  <si>
    <t>My Name Is Russell Fink</t>
  </si>
  <si>
    <t>Crazy Good Sex</t>
  </si>
  <si>
    <t>Putting to Bed the Myths Men Have About Sex</t>
  </si>
  <si>
    <t>Les Parrott</t>
  </si>
  <si>
    <t>Sins of the Fathers</t>
  </si>
  <si>
    <t>An Amish Picnic</t>
  </si>
  <si>
    <t>The Christian Atheist</t>
  </si>
  <si>
    <t>Believing in God but Living As If He Doesn't Exist</t>
  </si>
  <si>
    <t>Night Light</t>
  </si>
  <si>
    <t>Hoodwinked</t>
  </si>
  <si>
    <t>Ten Myths Moms Believe and Why We All Need To Knock It Off</t>
  </si>
  <si>
    <t>Karen Ehman-Ruth Schwenk</t>
  </si>
  <si>
    <t>Between Sundays</t>
  </si>
  <si>
    <t>A Promise of Hope</t>
  </si>
  <si>
    <t>Kauffman Amish Bakery Series</t>
  </si>
  <si>
    <t>MySpace for Moms and Dads</t>
  </si>
  <si>
    <t>A Guide to Understanding the Risks and the Rewards</t>
  </si>
  <si>
    <t>Connie Neal</t>
  </si>
  <si>
    <t>Daughter of Silk</t>
  </si>
  <si>
    <t>Bible Promises for You</t>
  </si>
  <si>
    <t>How to Be a Christian in a Brave New World</t>
  </si>
  <si>
    <t>Joni Eareckson Tada-Nigel M. de S. Cameron</t>
  </si>
  <si>
    <t>Broken Wings</t>
  </si>
  <si>
    <t>Second Chances</t>
  </si>
  <si>
    <t>Breach of Promise</t>
  </si>
  <si>
    <t>The Relationship Principles of Jesus</t>
  </si>
  <si>
    <t>Tom Holladay</t>
  </si>
  <si>
    <t>Soul Revolution</t>
  </si>
  <si>
    <t>How Imperfect People Become All God Intended</t>
  </si>
  <si>
    <t>John Burke</t>
  </si>
  <si>
    <t>Coral Moon</t>
  </si>
  <si>
    <t>I Stand at the Door and Knock</t>
  </si>
  <si>
    <t>Meditations by the Author of The Hiding Place</t>
  </si>
  <si>
    <t>Corrie ten Boom</t>
  </si>
  <si>
    <t>Faith and Doubt</t>
  </si>
  <si>
    <t>Raising Girls</t>
  </si>
  <si>
    <t>Melissa Trevathan-Helen Stitt Goff</t>
  </si>
  <si>
    <t>Only Uni</t>
  </si>
  <si>
    <t>The Case for Easter</t>
  </si>
  <si>
    <t>A Journalist Investigates Evidence for the Resurrection</t>
  </si>
  <si>
    <t>Conspiracy in Kiev</t>
  </si>
  <si>
    <t>Noel Hynd</t>
  </si>
  <si>
    <t>The Russian Trilogy</t>
  </si>
  <si>
    <t>Treason</t>
  </si>
  <si>
    <t>In Every Pew Sits a Broken Heart</t>
  </si>
  <si>
    <t>Hope for the Hurting</t>
  </si>
  <si>
    <t>365 Devotions for Peace</t>
  </si>
  <si>
    <t>Cheri Cowell</t>
  </si>
  <si>
    <t>The Billy Graham Story</t>
  </si>
  <si>
    <t>Revised and Updated Edition of To All the Nations</t>
  </si>
  <si>
    <t>Revd Dr John Charles Pollock</t>
  </si>
  <si>
    <t>The Zondervan 2021 Pastor's Annual</t>
  </si>
  <si>
    <t>The Owling</t>
  </si>
  <si>
    <t xml:space="preserve">YOUNG ADULT FICTION / Religious / Christian / Science Fiction </t>
  </si>
  <si>
    <t>The Shadowside Trilogy</t>
  </si>
  <si>
    <t>Saving Your Second Marriage Before It Starts</t>
  </si>
  <si>
    <t>Nine Questions to Ask Before -- and After -- You Remarry</t>
  </si>
  <si>
    <t>The Heart of the Artist, Second Edition</t>
  </si>
  <si>
    <t>A Character-Building Guide for You and Your Ministry Team</t>
  </si>
  <si>
    <t>Rory Noland</t>
  </si>
  <si>
    <t>Spirit Rising</t>
  </si>
  <si>
    <t>Tapping Into the Power of the Holy Spirit</t>
  </si>
  <si>
    <t>Jim Cymbala-Jennifer Schuchmann</t>
  </si>
  <si>
    <t>The Life God Blesses</t>
  </si>
  <si>
    <t>The Secret of Enjoying God's Favor</t>
  </si>
  <si>
    <t>Jim Cymbala-Stephen Sorenson</t>
  </si>
  <si>
    <t>Putting the Pieces Back Together</t>
  </si>
  <si>
    <t>How Real Life and Real Faith Connect</t>
  </si>
  <si>
    <t>Mel Lawrenz</t>
  </si>
  <si>
    <t>Altar Ego</t>
  </si>
  <si>
    <t>Becoming Who God Says You Are</t>
  </si>
  <si>
    <t>BV4509.5</t>
  </si>
  <si>
    <t>Identity (Psychology)--Religious aspects--Christianity.</t>
  </si>
  <si>
    <t>Disappointment with God</t>
  </si>
  <si>
    <t>Three Questions No One Asks Aloud</t>
  </si>
  <si>
    <t>BT102</t>
  </si>
  <si>
    <t>Faith.,God (Christianity)--Knowableness.,Theodicy.</t>
  </si>
  <si>
    <t>A Gift of Grace</t>
  </si>
  <si>
    <t>Crimson Eve</t>
  </si>
  <si>
    <t>Strengthen Your Marriage</t>
  </si>
  <si>
    <t>Personal Insights Into Your Relationship</t>
  </si>
  <si>
    <t>Daily Light on the Daily Path</t>
  </si>
  <si>
    <t>Character Makeover</t>
  </si>
  <si>
    <t>40 Days with a Life Coach to Create the Best You</t>
  </si>
  <si>
    <t>Katherine Brazelton-Shelley Leith</t>
  </si>
  <si>
    <t>A Christmas Miracle</t>
  </si>
  <si>
    <t>An Amish Celebrations Novella</t>
  </si>
  <si>
    <t>Insight</t>
  </si>
  <si>
    <t xml:space="preserve">YOUNG ADULT FICTION / Historical / United States / 20th Century </t>
  </si>
  <si>
    <t>Diana Greenwood</t>
  </si>
  <si>
    <t>A Higher Calling</t>
  </si>
  <si>
    <t>Claiming Godâ€™s Best for Your Life</t>
  </si>
  <si>
    <t xml:space="preserve">YOUNG ADULT NONFICTION / Health &amp; Daily Living / Fitness &amp; Exercise </t>
  </si>
  <si>
    <t>Dana Isaiah Thomas</t>
  </si>
  <si>
    <t>Halftime</t>
  </si>
  <si>
    <t>Moving From Success to Significance</t>
  </si>
  <si>
    <t>BV4579.5 .B84 2008</t>
  </si>
  <si>
    <t>Bob P. Buford</t>
  </si>
  <si>
    <t>An Amish Christmas Bakery</t>
  </si>
  <si>
    <t>Destiny's Bride</t>
  </si>
  <si>
    <t>Brides of Montclair</t>
  </si>
  <si>
    <t>Stories Behind Men of Faith</t>
  </si>
  <si>
    <t>Calvin Miller</t>
  </si>
  <si>
    <t>RELIGION / Biblical Reference / Handbooks</t>
  </si>
  <si>
    <t>Job</t>
  </si>
  <si>
    <t>RELIGION / Biblical Commentary / Old Testament / Poetry &amp; Wisdom Literature</t>
  </si>
  <si>
    <t>JUVENILE NONFICTION / Religion / General</t>
  </si>
  <si>
    <t>Matthew</t>
  </si>
  <si>
    <t>Romans</t>
  </si>
  <si>
    <t>Leveraging Influence When You Lack Authority</t>
  </si>
  <si>
    <t>RELIGION / Biblical Studies / Old Testament / Poetry &amp; Wisdom Literature</t>
  </si>
  <si>
    <t>RELIGION / Biblical Studies / Old Testament / General</t>
  </si>
  <si>
    <t>John Baker</t>
  </si>
  <si>
    <t>Creative Bible Lessons</t>
  </si>
  <si>
    <t>Steven Case</t>
  </si>
  <si>
    <t>Andrew A. Hedges</t>
  </si>
  <si>
    <t>Daniel</t>
  </si>
  <si>
    <t>Stephen Arterburn</t>
  </si>
  <si>
    <t>Nicole Johnson</t>
  </si>
  <si>
    <t>Genesis</t>
  </si>
  <si>
    <t>BS1525.3</t>
  </si>
  <si>
    <t>Isaiah</t>
  </si>
  <si>
    <t>Business.</t>
  </si>
  <si>
    <t>Mark</t>
  </si>
  <si>
    <t>Making Moral Choices in a World Full of Options</t>
  </si>
  <si>
    <t>1 and 2 Samuel</t>
  </si>
  <si>
    <t>Discovering Your Spiritual Gifts</t>
  </si>
  <si>
    <t>Encounters with Jesus</t>
  </si>
  <si>
    <t>John</t>
  </si>
  <si>
    <t>Reclaiming the New That Jesus Unleashed for the World</t>
  </si>
  <si>
    <t>Marv Penner</t>
  </si>
  <si>
    <t>Leviticus</t>
  </si>
  <si>
    <t>Ken Davis</t>
  </si>
  <si>
    <t>Second Edition</t>
  </si>
  <si>
    <t>A Memoir</t>
  </si>
  <si>
    <t>Leadership--Religious aspects--Christianity.</t>
  </si>
  <si>
    <t>BV652.1</t>
  </si>
  <si>
    <t>Christian leadership.</t>
  </si>
  <si>
    <t>Interpreting Scripture</t>
  </si>
  <si>
    <t>Essays on the Bible and Hermeneutics</t>
  </si>
  <si>
    <t>Collected Essays of N. T. Wright</t>
  </si>
  <si>
    <t>Move Into More</t>
  </si>
  <si>
    <t>The Limitless Surprises of a Faithful God</t>
  </si>
  <si>
    <t>Choco De JesÃºs</t>
  </si>
  <si>
    <t>CinderGirl</t>
  </si>
  <si>
    <t>My Journey Out of the Ashes to a Life of Hope</t>
  </si>
  <si>
    <t>Christina Meredith</t>
  </si>
  <si>
    <t>No More Faking Fine</t>
  </si>
  <si>
    <t>Ending the Pretending</t>
  </si>
  <si>
    <t>Esther Fleece Allen</t>
  </si>
  <si>
    <t>Sweet Olive</t>
  </si>
  <si>
    <t>Judy Christie</t>
  </si>
  <si>
    <t>Trumpet &amp; Vine</t>
  </si>
  <si>
    <t>Not God Enough</t>
  </si>
  <si>
    <t>Why Your Small God Leads to Big Problems</t>
  </si>
  <si>
    <t>J.D. Greear</t>
  </si>
  <si>
    <t>Laugh It Up!</t>
  </si>
  <si>
    <t>Embrace Freedom and Experience Defiant Joy</t>
  </si>
  <si>
    <t>Candace Payne</t>
  </si>
  <si>
    <t>Seven Things I Wish Christians Knew About the Bible</t>
  </si>
  <si>
    <t>BS511.3 .B57 2021eb</t>
  </si>
  <si>
    <t>Have Serious Fun</t>
  </si>
  <si>
    <t>And 12 Other Principles to Make Each Day Count</t>
  </si>
  <si>
    <t>Arnold Palmer's Success Lessons</t>
  </si>
  <si>
    <t>Wisdom on Golf, Business, and Life From the King of Golf</t>
  </si>
  <si>
    <t>Brad Brewer</t>
  </si>
  <si>
    <t>Keep Showing Up</t>
  </si>
  <si>
    <t>How to Stay Crazy in Love When Your Love Drives You Crazy</t>
  </si>
  <si>
    <t>Love Matters More</t>
  </si>
  <si>
    <t>How Fighting to Be Right Keeps Us From Loving Like Jesus</t>
  </si>
  <si>
    <t>Jared Byas</t>
  </si>
  <si>
    <t>Finding Faith in the Dark</t>
  </si>
  <si>
    <t>When the Story of Your Life Takes a Turn You Didnâ€™t Plan</t>
  </si>
  <si>
    <t>Laurie Short</t>
  </si>
  <si>
    <t>Free of Charge</t>
  </si>
  <si>
    <t>Giving and Forgiving in a Culture Stripped of Grace</t>
  </si>
  <si>
    <t>Miroslav Volf</t>
  </si>
  <si>
    <t>Unquenchable</t>
  </si>
  <si>
    <t>Grow a Wildfire Faith That Will Endure Anything</t>
  </si>
  <si>
    <t>Move Devotional</t>
  </si>
  <si>
    <t>A Guide for Men to Get Up and Go Forward</t>
  </si>
  <si>
    <t>Brian Tome</t>
  </si>
  <si>
    <t>Bond of Brothers</t>
  </si>
  <si>
    <t>Connecting with Other Men Beyond Work, Weather and Sports</t>
  </si>
  <si>
    <t>Wes Yoder</t>
  </si>
  <si>
    <t>Monday Morning Faith</t>
  </si>
  <si>
    <t>Courage to Soar (with Bonus Content)</t>
  </si>
  <si>
    <t>A Body in Motion, A Life in Balance</t>
  </si>
  <si>
    <t>GV460.2.B55</t>
  </si>
  <si>
    <t>Athletes--United States--Biography.,Gymnasts--United States--Biography.</t>
  </si>
  <si>
    <t>Simone Biles-Michelle Burford</t>
  </si>
  <si>
    <t>Senator's Bride</t>
  </si>
  <si>
    <t>Schools in Crisis</t>
  </si>
  <si>
    <t>They Need Your Help (Whether You Have Kids or Not)</t>
  </si>
  <si>
    <t>Barna Group-Nicole Baker Fulgham</t>
  </si>
  <si>
    <t>Frames</t>
  </si>
  <si>
    <t>Living a Life That Matters</t>
  </si>
  <si>
    <t>Lessons From Solomon The Man Who Tried Everything</t>
  </si>
  <si>
    <t>Mark Matlock-Chris Lyon</t>
  </si>
  <si>
    <t>Prisoner of Conscience</t>
  </si>
  <si>
    <t>One Man's Crusade for Global Human and Religious Rights</t>
  </si>
  <si>
    <t>Frank Wolf-Anne Morse</t>
  </si>
  <si>
    <t>Yankee Bride / Rebel Bride</t>
  </si>
  <si>
    <t>Book 5</t>
  </si>
  <si>
    <t>The Extravagant Fool</t>
  </si>
  <si>
    <t>A Faith Journey That Begins Where Common Sense Ends</t>
  </si>
  <si>
    <t>Kevin Adams</t>
  </si>
  <si>
    <t>Be Safe Little Boy</t>
  </si>
  <si>
    <t>Words of Love for Moms</t>
  </si>
  <si>
    <t>Changes That Heal</t>
  </si>
  <si>
    <t>Four Practical Steps to a Happier, Healthier You</t>
  </si>
  <si>
    <t>Christian life.,Christianity--Psychology.,Emotional maturity--Religious aspects--Christianity.</t>
  </si>
  <si>
    <t>Henry Cloud</t>
  </si>
  <si>
    <t>Gospel-Driven Ministry</t>
  </si>
  <si>
    <t>An Introduction to the Calling and Work of a Pastor</t>
  </si>
  <si>
    <t>RELIGION / Christian Ministry / Pastoral Resources</t>
  </si>
  <si>
    <t>BV4011.3</t>
  </si>
  <si>
    <t>Clergy--Office.,Pastoral care.,Pastoral theology.</t>
  </si>
  <si>
    <t>Jared C. Wilson</t>
  </si>
  <si>
    <t>Coming Clean</t>
  </si>
  <si>
    <t>A Story of Faith</t>
  </si>
  <si>
    <t>Seth Haines</t>
  </si>
  <si>
    <t>Honey for a Woman's Heart</t>
  </si>
  <si>
    <t>Growing Your World Through Reading Great Books</t>
  </si>
  <si>
    <t>Gladys Hunt</t>
  </si>
  <si>
    <t>Couples of the Bible</t>
  </si>
  <si>
    <t>A One-Year Devotional Study to Draw You Closer to God and Each Other</t>
  </si>
  <si>
    <t>Robert and Bobbie Wolgemuth</t>
  </si>
  <si>
    <t>Know What You're FOR</t>
  </si>
  <si>
    <t>A Growth Strategy for Work, An Even Better Strategy for Life</t>
  </si>
  <si>
    <t>A Love Letter Life</t>
  </si>
  <si>
    <t>Pursue Creatively. Date Intentionally. Love Faithfully.</t>
  </si>
  <si>
    <t>Jeremy Roloff-Audrey Roloff</t>
  </si>
  <si>
    <t>Take It Too Far</t>
  </si>
  <si>
    <t>Abundant Life, Boundless Love, Unending Grace</t>
  </si>
  <si>
    <t>The Dirty Little Secret</t>
  </si>
  <si>
    <t>Uncovering the Truth Behind Porn</t>
  </si>
  <si>
    <t>Craig Gross</t>
  </si>
  <si>
    <t>Begin Again, Believe Again</t>
  </si>
  <si>
    <t>Embracing the Courage to Love with Abandon</t>
  </si>
  <si>
    <t>Sharon A. Hersh</t>
  </si>
  <si>
    <t>Reliving the Passion</t>
  </si>
  <si>
    <t>Meditations on the Suffering, Death, and the Resurrection of Jesus As Recorded in Mark.</t>
  </si>
  <si>
    <t>Living in a Gray World</t>
  </si>
  <si>
    <t>A Christian Teenâ€™s Guide to Understanding Homosexuality</t>
  </si>
  <si>
    <t>Harriet Beamer Strikes Gold</t>
  </si>
  <si>
    <t>Harriet Beamer Series</t>
  </si>
  <si>
    <t>The Case for Grace</t>
  </si>
  <si>
    <t>Katy's Decision</t>
  </si>
  <si>
    <t>Kim Vogel Sawyer</t>
  </si>
  <si>
    <t>The Katy Lambright Series</t>
  </si>
  <si>
    <t>Show Up for Your Life</t>
  </si>
  <si>
    <t>What the Girl Youâ€™ll Be Tomorrow Wants You to Know Today</t>
  </si>
  <si>
    <t>Spiritual Mismatch</t>
  </si>
  <si>
    <t>Hope for Christians Married to Someone Who Doesnâ€™t Know God</t>
  </si>
  <si>
    <t>Lee Strobel-Leslie Strobel</t>
  </si>
  <si>
    <t>Jeremy Linâ€™s Extraordinary Story of Faith and Resilience</t>
  </si>
  <si>
    <t>Mike Yorkey</t>
  </si>
  <si>
    <t>L. O. V. E.</t>
  </si>
  <si>
    <t>Putting Your Love Styles to Work for You</t>
  </si>
  <si>
    <t>31 Days to Great Sex</t>
  </si>
  <si>
    <t>Love. Friendship. Fun.</t>
  </si>
  <si>
    <t>Letters From the Land of Cancer</t>
  </si>
  <si>
    <t>Dark Side of the Supernatural</t>
  </si>
  <si>
    <t>Bill Myers-David Wimbish</t>
  </si>
  <si>
    <t>365 Devotions to Embrace What Matters Most</t>
  </si>
  <si>
    <t>John Michalak</t>
  </si>
  <si>
    <t>The Dandelion Field</t>
  </si>
  <si>
    <t>Kathryn Springer</t>
  </si>
  <si>
    <t>A Banister Falls Novel</t>
  </si>
  <si>
    <t>Growing Up Without Getting Lost</t>
  </si>
  <si>
    <t>Fierce Faith</t>
  </si>
  <si>
    <t>A Woman's Guide to Fighting Fear, Wrestling Worry, and Overcoming Anxiety</t>
  </si>
  <si>
    <t>Alli Worthington</t>
  </si>
  <si>
    <t>God Is with Me Through the Day</t>
  </si>
  <si>
    <t>Julie Cantrell</t>
  </si>
  <si>
    <t>Melting Hearts</t>
  </si>
  <si>
    <t>A Fellowship of Differents</t>
  </si>
  <si>
    <t>Showing the World God's Design for Life Together</t>
  </si>
  <si>
    <t>You Can Stay Home with Your Kids!</t>
  </si>
  <si>
    <t>100 Tips, Tricks, and Ways to Make It Work on a Budget</t>
  </si>
  <si>
    <t>Erin Odom</t>
  </si>
  <si>
    <t>The Magic of Motherhood</t>
  </si>
  <si>
    <t>The Good Stuff, the Hard Stuff, and Everything In Between</t>
  </si>
  <si>
    <t>Ashlee Gadd</t>
  </si>
  <si>
    <t>Mixed Bags Plus Free Stealing Bradford</t>
  </si>
  <si>
    <t xml:space="preserve">YOUNG ADULT FICTION / Romance / Contemporary </t>
  </si>
  <si>
    <t>Carter House Girls</t>
  </si>
  <si>
    <t>How to Have Your Life Not Suck</t>
  </si>
  <si>
    <t>Becoming Today Who You Want to Be Tomorrow</t>
  </si>
  <si>
    <t>Bianca Juarez Olthoff</t>
  </si>
  <si>
    <t>Twisted Scriptures</t>
  </si>
  <si>
    <t>Breaking Free From Churches That Abuse</t>
  </si>
  <si>
    <t>Mary Alice Chrnalogar</t>
  </si>
  <si>
    <t>The Bright Life</t>
  </si>
  <si>
    <t>40 Invitations to Reclaim Your Energy for the Full Life</t>
  </si>
  <si>
    <t>Jen Wise</t>
  </si>
  <si>
    <t>Theodora's Diary</t>
  </si>
  <si>
    <t>Penny Culliford</t>
  </si>
  <si>
    <t>Theodora</t>
  </si>
  <si>
    <t>Fortune's Bride</t>
  </si>
  <si>
    <t>Book 3</t>
  </si>
  <si>
    <t>When Did We Lose Harriet?</t>
  </si>
  <si>
    <t>Patricia Sprinkle</t>
  </si>
  <si>
    <t>MacLaren Yarbrough Mysteries</t>
  </si>
  <si>
    <t>Love Works</t>
  </si>
  <si>
    <t>Seven Timeless Principles for Effective Leaders</t>
  </si>
  <si>
    <t>Joel Manby</t>
  </si>
  <si>
    <t>Final Touch</t>
  </si>
  <si>
    <t>Brandilyn Collins-Amberly Collins</t>
  </si>
  <si>
    <t>The Rayne Tour</t>
  </si>
  <si>
    <t>God's Economy</t>
  </si>
  <si>
    <t>Redefining the Health and Wealth Gospel</t>
  </si>
  <si>
    <t>BV4647.C7 W55 2009eb</t>
  </si>
  <si>
    <t>Christian life.,Contentment--Religious aspects--Christianity.,Wealth--Religious aspects--Christianity.</t>
  </si>
  <si>
    <t>Jonathan Wilson-Hartgrove</t>
  </si>
  <si>
    <t>The Seven Longest Yards</t>
  </si>
  <si>
    <t>Our Love Story of Pushing the Limits While Leaning on Each Other</t>
  </si>
  <si>
    <t>Chris Norton-Emily Norton-Mark Tabb</t>
  </si>
  <si>
    <t>The House That Love Built</t>
  </si>
  <si>
    <t>Why I Opened My Door to Immigrants and How We Found Hope Beyond a Broken System</t>
  </si>
  <si>
    <t>HV4012.D4</t>
  </si>
  <si>
    <t>Immigration advocates.,Nonprofit organizations.,Social work with immigrants--Colorado--Denver.</t>
  </si>
  <si>
    <t>Sarah Jackson-Scott Sawyer</t>
  </si>
  <si>
    <t>Unveiling Grace</t>
  </si>
  <si>
    <t>The Story of How We Found Our Way Out of the Mormon Church</t>
  </si>
  <si>
    <t>Lynn K. Wilder</t>
  </si>
  <si>
    <t>The 6 Needs of Every Child</t>
  </si>
  <si>
    <t>Empowering Parents and Kids Through the Science of Connection</t>
  </si>
  <si>
    <t>PSYCHOLOGY / Developmental / Child</t>
  </si>
  <si>
    <t>Amy Elizabeth Olrick-Jeffrey Olrick</t>
  </si>
  <si>
    <t>A Welcome at Our Door</t>
  </si>
  <si>
    <t>An Amish Homestead Novel</t>
  </si>
  <si>
    <t>A February Bride</t>
  </si>
  <si>
    <t>Betsy St. Amant</t>
  </si>
  <si>
    <t>A Positive Life</t>
  </si>
  <si>
    <t>Living with HIV As a Pastor, Husband, and Father</t>
  </si>
  <si>
    <t>Shane Stanford</t>
  </si>
  <si>
    <t>Spiritual Influence</t>
  </si>
  <si>
    <t>The Hidden Power Behind Leadership</t>
  </si>
  <si>
    <t>Nice Girls Don't Change the World</t>
  </si>
  <si>
    <t>Lynne Hybels</t>
  </si>
  <si>
    <t>Sacred Thirst</t>
  </si>
  <si>
    <t>Meeting God in the Desert of Our Longings</t>
  </si>
  <si>
    <t>M. Craig Barnes</t>
  </si>
  <si>
    <t>Courageous Bride</t>
  </si>
  <si>
    <t>Montclair in Wartime, 1939-1946</t>
  </si>
  <si>
    <t>Multi-Careering (Frames Series)</t>
  </si>
  <si>
    <t>Do Work That Matters at Every Stage of Your Journey</t>
  </si>
  <si>
    <t>Barna Group-Bob Goff</t>
  </si>
  <si>
    <t>They Found the Secret</t>
  </si>
  <si>
    <t>Twenty Lives That Reveal a Touch of Eternity</t>
  </si>
  <si>
    <t>V. Raymond Edman</t>
  </si>
  <si>
    <t>The Word and Power Church</t>
  </si>
  <si>
    <t>What Happens When a Church Seeks All God Has to Offer?</t>
  </si>
  <si>
    <t>Douglas Banister</t>
  </si>
  <si>
    <t>My Family</t>
  </si>
  <si>
    <t>God Strong</t>
  </si>
  <si>
    <t>The Military Wife's Spiritual Survival Guide</t>
  </si>
  <si>
    <t>Sara Horn</t>
  </si>
  <si>
    <t>Disciplines of the Holy Spirit</t>
  </si>
  <si>
    <t>How to Connect to the Spirit's Power and Presence</t>
  </si>
  <si>
    <t>Siang-Yang Tan-Douglas H. Gregg</t>
  </si>
  <si>
    <t>Love's Dwelling</t>
  </si>
  <si>
    <t>Zip It</t>
  </si>
  <si>
    <t>The Keep It Shut 40-Day Challenge</t>
  </si>
  <si>
    <t>Turn Your Radio On</t>
  </si>
  <si>
    <t>The Stories Behind Gospel Music's All-Time Greatest Songs</t>
  </si>
  <si>
    <t>MUSIC / Religious / Gospel</t>
  </si>
  <si>
    <t>Don't Buy the Lie</t>
  </si>
  <si>
    <t>Discerning Truth in a World of Deception</t>
  </si>
  <si>
    <t>Back Before Dark</t>
  </si>
  <si>
    <t>Sometimes Rescuing a Friend From Darkness ... Means Going in After Them</t>
  </si>
  <si>
    <t>How Far You Have Come</t>
  </si>
  <si>
    <t>Musings on Beauty and Courage</t>
  </si>
  <si>
    <t>Life of Jesus</t>
  </si>
  <si>
    <t>Who He Is and Why He Matters</t>
  </si>
  <si>
    <t>America the Beautiful</t>
  </si>
  <si>
    <t>Rediscovering What Made This Nation Great</t>
  </si>
  <si>
    <t>POLITICAL SCIENCE / Civics &amp; Citizenship</t>
  </si>
  <si>
    <t>Vicious Cycle</t>
  </si>
  <si>
    <t>An Intervention Novel</t>
  </si>
  <si>
    <t>Everyday Holy</t>
  </si>
  <si>
    <t>Finding a Big God in the Little Moments</t>
  </si>
  <si>
    <t>Toss the Bouquet</t>
  </si>
  <si>
    <t>Three Spring Love Stories</t>
  </si>
  <si>
    <t>Ruth Logan Herne-Amy Matayo-Janice Thompson</t>
  </si>
  <si>
    <t>Breaking Busy</t>
  </si>
  <si>
    <t>How to Find Peace and Purpose in a World of Crazy</t>
  </si>
  <si>
    <t>Never Again Good-Bye</t>
  </si>
  <si>
    <t>Right on Track</t>
  </si>
  <si>
    <t>Run, Race, Believe</t>
  </si>
  <si>
    <t xml:space="preserve">YOUNG ADULT NONFICTION / Biography &amp; Autobiography / Sports &amp; Recreation </t>
  </si>
  <si>
    <t>Sanya Richards-Ross</t>
  </si>
  <si>
    <t>Will the Circle Be Unbroken?</t>
  </si>
  <si>
    <t>A Memoir of Learning to Believe Youâ€™re Gonna Be Okay</t>
  </si>
  <si>
    <t>Sean Dietrich</t>
  </si>
  <si>
    <t>I Don't Wait Anymore</t>
  </si>
  <si>
    <t>Letting Go of Expectations and Grasping God's Adventure for You</t>
  </si>
  <si>
    <t>Grace Thornton</t>
  </si>
  <si>
    <t>Game Plan</t>
  </si>
  <si>
    <t>Winning Strategies for the Second Half of Your Life</t>
  </si>
  <si>
    <t>Living Well, Spending Less</t>
  </si>
  <si>
    <t>12 Secrets of the Good Life</t>
  </si>
  <si>
    <t>Hungry for God</t>
  </si>
  <si>
    <t>Hearing God's Voice in the Ordinary and the Everyday</t>
  </si>
  <si>
    <t>The Light Is Winning</t>
  </si>
  <si>
    <t>Why Religion Just Might Bring Us Back to Life</t>
  </si>
  <si>
    <t>Zach Hoag</t>
  </si>
  <si>
    <t>My One Word</t>
  </si>
  <si>
    <t>Change Your Life With Just One Word</t>
  </si>
  <si>
    <t>Mike Ashcraft-Rachel Olsen</t>
  </si>
  <si>
    <t>Bold and Blessed</t>
  </si>
  <si>
    <t>How to Stay True to Yourself and Stand Out From the Crowd</t>
  </si>
  <si>
    <t>Trinitee Stokes</t>
  </si>
  <si>
    <t>Showers in Season</t>
  </si>
  <si>
    <t>Beverly LaHaye-Terri Blackstock</t>
  </si>
  <si>
    <t>Seasons Series</t>
  </si>
  <si>
    <t>The Chicken Runs at Midnight</t>
  </si>
  <si>
    <t>A Daughterâ€™s Message From Heaven That Changed a Fatherâ€™s Heart and Won a World Series</t>
  </si>
  <si>
    <t>Tom Friend</t>
  </si>
  <si>
    <t>Deceit</t>
  </si>
  <si>
    <t>A Double Dose of Love</t>
  </si>
  <si>
    <t>Learning My Name</t>
  </si>
  <si>
    <t>The Intervention Collection</t>
  </si>
  <si>
    <t>Intervention, Vicious Cycle, Downfall</t>
  </si>
  <si>
    <t>Love Anyway</t>
  </si>
  <si>
    <t>An Invitation Beyond a World Thatâ€™s Scary As Hell</t>
  </si>
  <si>
    <t>Jeremy Courtney</t>
  </si>
  <si>
    <t>A May Bride</t>
  </si>
  <si>
    <t>Meg Moseley</t>
  </si>
  <si>
    <t>Think Like a Girl</t>
  </si>
  <si>
    <t>10 Unique Strengths of a Woman's Brain and How to Make Them Work for You</t>
  </si>
  <si>
    <t>Tracy Packiam Alloway Ph.D</t>
  </si>
  <si>
    <t>Understanding People</t>
  </si>
  <si>
    <t>Why We Long for Relationship</t>
  </si>
  <si>
    <t>BV4012.2</t>
  </si>
  <si>
    <t>Interpersonal relations.,Pastoral counseling.</t>
  </si>
  <si>
    <t>Last Breath</t>
  </si>
  <si>
    <t>Draw Near to God</t>
  </si>
  <si>
    <t>100 Bible Verses to Deepen Your Faith</t>
  </si>
  <si>
    <t>A Grace Revealed</t>
  </si>
  <si>
    <t>How God Redeems the Story of Your Life</t>
  </si>
  <si>
    <t>Christian life.,Redemption--Christianity.</t>
  </si>
  <si>
    <t>Holy Available</t>
  </si>
  <si>
    <t>What If Holiness Is About More Than What We Donâ€™t Do?</t>
  </si>
  <si>
    <t>Hands Free Mama</t>
  </si>
  <si>
    <t>A Guide to Putting Down the Phone, Burning the To-Do List, and Letting Go of Perfection to Grasp What Really Matters!</t>
  </si>
  <si>
    <t>Rachel Macy Stafford</t>
  </si>
  <si>
    <t>Finding Your Way After the Suicide of Someone You Love</t>
  </si>
  <si>
    <t>David B. Biebel-Suzanne L. Foster</t>
  </si>
  <si>
    <t>Swope's Ridge</t>
  </si>
  <si>
    <t>Small Talk</t>
  </si>
  <si>
    <t>Learning From My Children About What Matters Most</t>
  </si>
  <si>
    <t>Amy Julia Becker</t>
  </si>
  <si>
    <t>Confessions of a Prayer Wimp</t>
  </si>
  <si>
    <t>My Fumbling, Faltering Foibles in Faith</t>
  </si>
  <si>
    <t>Mary Pierce</t>
  </si>
  <si>
    <t>City Vision</t>
  </si>
  <si>
    <t>Center Church, Part Four</t>
  </si>
  <si>
    <t>Timothy Keller</t>
  </si>
  <si>
    <t>Introverted Mom</t>
  </si>
  <si>
    <t>Your Guide to More Calm, Less Guilt, and Quiet Joy</t>
  </si>
  <si>
    <t>Jamie C. Martin</t>
  </si>
  <si>
    <t>It's Not Fair</t>
  </si>
  <si>
    <t>Learning to Love the Life You Didn't Choose</t>
  </si>
  <si>
    <t>Melanie Dale</t>
  </si>
  <si>
    <t>The Faith of Dolly Parton</t>
  </si>
  <si>
    <t>Lessons From Her Life to Lift Your Heart</t>
  </si>
  <si>
    <t>Dudley Delffs</t>
  </si>
  <si>
    <t>Lost in Las Vegas</t>
  </si>
  <si>
    <t>This Beautiful Book</t>
  </si>
  <si>
    <t>An Exploration of the Bible's Incredible Story Line and Why It Matters Today</t>
  </si>
  <si>
    <t>Steve Green-Bill High</t>
  </si>
  <si>
    <t>Thrive</t>
  </si>
  <si>
    <t>Digging Deep, Reaching Out</t>
  </si>
  <si>
    <t>Mark Hall-Tim Luke</t>
  </si>
  <si>
    <t>Moms' Ultimate Guide to the Tween Girl World</t>
  </si>
  <si>
    <t>Daring Bride</t>
  </si>
  <si>
    <t>Montclair at the Crossroads 1932-1939</t>
  </si>
  <si>
    <t>Spiritual Rhythm</t>
  </si>
  <si>
    <t>Being with Jesus Every Season of Your Soul</t>
  </si>
  <si>
    <t>Mark Buchanan</t>
  </si>
  <si>
    <t>From the Major Motion Picture</t>
  </si>
  <si>
    <t>Patrick Doughtie-John Perry</t>
  </si>
  <si>
    <t>The Amish Homestead Collection</t>
  </si>
  <si>
    <t>A Place at Our Table, Room on the Porch Swing, A Seat by the Hearth, A Welcome at Our Door</t>
  </si>
  <si>
    <t>Case for Christ Movie Edition</t>
  </si>
  <si>
    <t>Solving the Biggest Mystery of All Time</t>
  </si>
  <si>
    <t>For Better or for Kids</t>
  </si>
  <si>
    <t>A Vow to Love Your Spouse with Kids in the House</t>
  </si>
  <si>
    <t>Patrick and Ruth Schwenk</t>
  </si>
  <si>
    <t>Heart of Stone</t>
  </si>
  <si>
    <t>Jill Marie Landis</t>
  </si>
  <si>
    <t>Irish Angel Series</t>
  </si>
  <si>
    <t>Mixed Bags</t>
  </si>
  <si>
    <t>One Tuesday Morning / Beyond Tuesday Morning Compilation Limited Edition</t>
  </si>
  <si>
    <t>I Saw Him in Your Eyes</t>
  </si>
  <si>
    <t>Murder Freshly Baked</t>
  </si>
  <si>
    <t>An Amish Village Mystery</t>
  </si>
  <si>
    <t>Protection for Hire</t>
  </si>
  <si>
    <t>Carry Me Over the Threshold</t>
  </si>
  <si>
    <t>Kristina Seleshanko</t>
  </si>
  <si>
    <t>It's Easy Being Green, Revised and Expanded Edition</t>
  </si>
  <si>
    <t>A Guide to Serving God and Saving the Planet</t>
  </si>
  <si>
    <t>Wilderness Rising</t>
  </si>
  <si>
    <t>A.L. Shields</t>
  </si>
  <si>
    <t>A Church Builder Novel</t>
  </si>
  <si>
    <t>Through the Year with Jimmy Carter</t>
  </si>
  <si>
    <t>366 Daily Meditations From the 39th President</t>
  </si>
  <si>
    <t>Jimmy Carter</t>
  </si>
  <si>
    <t>Diviner</t>
  </si>
  <si>
    <t xml:space="preserve">YOUNG ADULT FICTION / Religious / Christian / Fantasy </t>
  </si>
  <si>
    <t>Bryan Davis</t>
  </si>
  <si>
    <t>Dragons of Starlight</t>
  </si>
  <si>
    <t>Making Ripples</t>
  </si>
  <si>
    <t>Mike Breaux</t>
  </si>
  <si>
    <t>This Too Shall Last</t>
  </si>
  <si>
    <t>Finding Grace When Suffering Lingers</t>
  </si>
  <si>
    <t>Creating Calm in the Center of Crazy</t>
  </si>
  <si>
    <t>Making Room for Your Soul in an Overcrowded Life</t>
  </si>
  <si>
    <t>The Book of a Thousand Prayers</t>
  </si>
  <si>
    <t>Zondervan-Angela Ashwin</t>
  </si>
  <si>
    <t>Wisdom On ... Making Good Decisions</t>
  </si>
  <si>
    <t>Grieving the Loss of a Loved One</t>
  </si>
  <si>
    <t>A Devotional of Hope</t>
  </si>
  <si>
    <t>Kathe Wunnenberg</t>
  </si>
  <si>
    <t>Help Is on the Way</t>
  </si>
  <si>
    <t>And Love Is Already Here</t>
  </si>
  <si>
    <t>Jonathan Martin</t>
  </si>
  <si>
    <t>Searching for Enough</t>
  </si>
  <si>
    <t>The High-Wire Walk Between Doubt and Faith</t>
  </si>
  <si>
    <t>Tyler Staton</t>
  </si>
  <si>
    <t>A Stranger in the House of God</t>
  </si>
  <si>
    <t>John Koessler</t>
  </si>
  <si>
    <t>Issues Facing Christians Today</t>
  </si>
  <si>
    <t>4th Edition</t>
  </si>
  <si>
    <t>BT738</t>
  </si>
  <si>
    <t>Christian life--Anglican authors.,Christian sociology.,Church and social problems.,Evangelicalism.,Sex--Religious aspects--Christianity.</t>
  </si>
  <si>
    <t>Dr. John R.W. Stott-John Wyatt</t>
  </si>
  <si>
    <t>A Step Further</t>
  </si>
  <si>
    <t>Growing Closer to God Through Hurt and Hardship</t>
  </si>
  <si>
    <t>Joni Eareckson Tada-Steve Estes</t>
  </si>
  <si>
    <t>Roadside Assistance Ebook Collection</t>
  </si>
  <si>
    <t>Contains Roadside Assistance, Destination Unknown, and Miles From Nowhere</t>
  </si>
  <si>
    <t>YOUNG ADULT FICTION / Social Themes / Death, Grief, Bereavement</t>
  </si>
  <si>
    <t>William Wilberforce</t>
  </si>
  <si>
    <t>A Hero for Humanity</t>
  </si>
  <si>
    <t>Kevin Belmonte</t>
  </si>
  <si>
    <t>Run the Mile You're In</t>
  </si>
  <si>
    <t>Finding God in Every Step</t>
  </si>
  <si>
    <t>SPORTS &amp; RECREATION / Olympics &amp; Paralympics</t>
  </si>
  <si>
    <t>Ryan Hall</t>
  </si>
  <si>
    <t>Seeds of Summer</t>
  </si>
  <si>
    <t>Deborah Vogts</t>
  </si>
  <si>
    <t>Seasons of the Tallgrass</t>
  </si>
  <si>
    <t>Consumer Detox</t>
  </si>
  <si>
    <t>Less Stuff, More Life</t>
  </si>
  <si>
    <t>Revd. Mark Powley</t>
  </si>
  <si>
    <t>Scoot Over and Make Some Room</t>
  </si>
  <si>
    <t>Creating a Space Where Everyone Belongs</t>
  </si>
  <si>
    <t>Heather Avis</t>
  </si>
  <si>
    <t>The Four-Hour School Day</t>
  </si>
  <si>
    <t>How You and Your Kids Can Thrive in the Homeschool Life</t>
  </si>
  <si>
    <t>Durenda Wilson</t>
  </si>
  <si>
    <t>Death Watch</t>
  </si>
  <si>
    <t>Jack Cavanaugh-Jerry Kuiper</t>
  </si>
  <si>
    <t>Thrive Student Edition</t>
  </si>
  <si>
    <t>Love Takes the Cake</t>
  </si>
  <si>
    <t>A September Wedding Story</t>
  </si>
  <si>
    <t>The Amish Village Mystery Collection</t>
  </si>
  <si>
    <t>Murder Simply Brewed, Murder Tightly Knit, Murder Freshly Baked</t>
  </si>
  <si>
    <t>Amish Generations</t>
  </si>
  <si>
    <t>Justifiable Means</t>
  </si>
  <si>
    <t>Sun Coast Chronicles</t>
  </si>
  <si>
    <t>The Cherished Quilt</t>
  </si>
  <si>
    <t>An Amish Heirloom Novel</t>
  </si>
  <si>
    <t>Counseling in African-American Communities</t>
  </si>
  <si>
    <t>Zondervan-Lee N. June-Sabrina Black</t>
  </si>
  <si>
    <t>Treat Me Like a Customer</t>
  </si>
  <si>
    <t>Using Lessons From Work to Succeed in Life</t>
  </si>
  <si>
    <t>Louis Upkins, Jr.</t>
  </si>
  <si>
    <t>Be the Gift</t>
  </si>
  <si>
    <t>Let Your Broken Be Turned Into Abundance</t>
  </si>
  <si>
    <t>Tournaments, Cocoa and One Wrong Move</t>
  </si>
  <si>
    <t>Real Life</t>
  </si>
  <si>
    <t>Too Good to Be True</t>
  </si>
  <si>
    <t>Amplified Cross-Reference Bible</t>
  </si>
  <si>
    <t>BIBLES / The Amplified Bible / Reference</t>
  </si>
  <si>
    <t>Out of the House of Bread</t>
  </si>
  <si>
    <t>Satisfying Your Hunger for God with the Spiritual Disciplines</t>
  </si>
  <si>
    <t>Preston Yancey</t>
  </si>
  <si>
    <t>NIrV, God Watches Over Me Bible</t>
  </si>
  <si>
    <t>Why I Still Believe</t>
  </si>
  <si>
    <t>A Former Atheistâ€™s Reckoning with the Bad Reputation Christians Give a Good God</t>
  </si>
  <si>
    <t>BV4935.S435</t>
  </si>
  <si>
    <t>Apologetics.,Christian converts--Biography.,Hypocrisy--Religious aspects--Christianity.</t>
  </si>
  <si>
    <t>Mary Jo Sharp</t>
  </si>
  <si>
    <t>Women Are Scary</t>
  </si>
  <si>
    <t>The Totally Awkward Adventure of Finding Mom Friends</t>
  </si>
  <si>
    <t>A Stranger's Secret</t>
  </si>
  <si>
    <t>Laurie Alice Eakes</t>
  </si>
  <si>
    <t>A Cliffs of Cornwall Novel</t>
  </si>
  <si>
    <t>Happily Homemade</t>
  </si>
  <si>
    <t>Cooking with Love</t>
  </si>
  <si>
    <t>COOKING / General</t>
  </si>
  <si>
    <t>Rachel Schultz</t>
  </si>
  <si>
    <t>A Simple Prayer</t>
  </si>
  <si>
    <t>Victim of Grace</t>
  </si>
  <si>
    <t>When Godâ€™s Goodness Prevails</t>
  </si>
  <si>
    <t>Robin Jones Gunn</t>
  </si>
  <si>
    <t>I Hate School</t>
  </si>
  <si>
    <t>How to Help Your Child Love Learning</t>
  </si>
  <si>
    <t>Cynthia Ulrich Tobias</t>
  </si>
  <si>
    <t>NRSV Bible</t>
  </si>
  <si>
    <t>BS191.5.A1 2011</t>
  </si>
  <si>
    <t>Doing Life with Your Adult Children</t>
  </si>
  <si>
    <t>Keep Your Mouth Shut and the Welcome Mat Out</t>
  </si>
  <si>
    <t>No Place to Hide</t>
  </si>
  <si>
    <t>A Brain Surgeonâ€™s Long Journey Home From the Iraq War</t>
  </si>
  <si>
    <t>HISTORY / Wars &amp; Conflicts / Iraq War (2003-2011)</t>
  </si>
  <si>
    <t>W. Lee Warren</t>
  </si>
  <si>
    <t>Be Strong and Take Heart</t>
  </si>
  <si>
    <t>40 Days to a Hope- Filled Life</t>
  </si>
  <si>
    <t>I Am Strong</t>
  </si>
  <si>
    <t>Finding Godâ€™s Peace and Strength in Lifeâ€™s Darkest Moments</t>
  </si>
  <si>
    <t>John S. Dickerson</t>
  </si>
  <si>
    <t>Pawfect Love</t>
  </si>
  <si>
    <t>Life Is Best with a Love Like Yours</t>
  </si>
  <si>
    <t>FAMILY &amp; RELATIONSHIPS / Love &amp; Romance</t>
  </si>
  <si>
    <t>The Cuban</t>
  </si>
  <si>
    <t>Hostage in Havana, Murder in Miami, Payback in Panama</t>
  </si>
  <si>
    <t>FICTION / Political</t>
  </si>
  <si>
    <t>The Cuban Trilogy</t>
  </si>
  <si>
    <t>Devotions for a Deeper Life</t>
  </si>
  <si>
    <t>Oswald Chambers</t>
  </si>
  <si>
    <t>The Winning Summer</t>
  </si>
  <si>
    <t>Stand Beautiful</t>
  </si>
  <si>
    <t>A Story of Brokenness, Beauty and Embracing It All</t>
  </si>
  <si>
    <t>Chloe Howard-Margot Starbuck</t>
  </si>
  <si>
    <t>Beyond the Castle</t>
  </si>
  <si>
    <t>A Guide to Discovering Your Happily Ever After</t>
  </si>
  <si>
    <t>Jody Jean Dreyer-Stacy L. Windahl</t>
  </si>
  <si>
    <t>Teen Mom</t>
  </si>
  <si>
    <t>Youâ€™re Stronger Than You Think</t>
  </si>
  <si>
    <t>Beyond the Battle</t>
  </si>
  <si>
    <t>A Man's Guide to His Identity in Christ in an Oversexualized World</t>
  </si>
  <si>
    <t>Christian men--Religious life.,Christian men--Sexual behavior.,Men--Religious life.,Men--Sexual behavior.,Responsibility.,Sex in popular culture.</t>
  </si>
  <si>
    <t>Noah Filipiak</t>
  </si>
  <si>
    <t>When God Doesn't Answer Your Prayer</t>
  </si>
  <si>
    <t>Insights to Keep You Praying with Greater Faith and Deeper Hope</t>
  </si>
  <si>
    <t>Last Dance</t>
  </si>
  <si>
    <t xml:space="preserve">YOUNG ADULT FICTION / Religious / Christian / General </t>
  </si>
  <si>
    <t>Wild and Free</t>
  </si>
  <si>
    <t>A Hope-Filled Anthem for the Woman Who Feels She Is Both Too Much and Never Enough</t>
  </si>
  <si>
    <t>Jess Connolly-Hayley Morgan</t>
  </si>
  <si>
    <t>Chasing Slow</t>
  </si>
  <si>
    <t>Courage to Journey Off the Beaten Path</t>
  </si>
  <si>
    <t>Erin Loechner</t>
  </si>
  <si>
    <t>Miles From Nowhere</t>
  </si>
  <si>
    <t>Love Held Captive</t>
  </si>
  <si>
    <t>Shelley Shepard Gray</t>
  </si>
  <si>
    <t>A Lone Star Heroâ€™s Love Story</t>
  </si>
  <si>
    <t>The Big Picture</t>
  </si>
  <si>
    <t>Getting Perspective on What's Really Important</t>
  </si>
  <si>
    <t>A Crazy, Holy Grace</t>
  </si>
  <si>
    <t>The Healing Power of Pain and Memory</t>
  </si>
  <si>
    <t>Frederick Buechner</t>
  </si>
  <si>
    <t>Epic: An Around-the-World Journey Through Christian History</t>
  </si>
  <si>
    <t>The Beekeeper's Son</t>
  </si>
  <si>
    <t>The Amish of Bee County</t>
  </si>
  <si>
    <t>Acts of the Almighty</t>
  </si>
  <si>
    <t>Meditations on the Story of God for Every Day of the Year</t>
  </si>
  <si>
    <t>Noble Knights Historical Romance Collection</t>
  </si>
  <si>
    <t xml:space="preserve">YOUNG ADULT FICTION / Historical / Medieval </t>
  </si>
  <si>
    <t>Don't Stop Laughing Now!</t>
  </si>
  <si>
    <t>Stories to Tickle Your Funny Bone and Strengthen Your Faith</t>
  </si>
  <si>
    <t>Zondervan-Ann Spangler-Shari MacDonald</t>
  </si>
  <si>
    <t>Devotions for Christmas</t>
  </si>
  <si>
    <t>A Celebration to Bring You Joy and Peace</t>
  </si>
  <si>
    <t>Howie's Tea Party</t>
  </si>
  <si>
    <t>The End Is Now</t>
  </si>
  <si>
    <t>How to Help Your Hurting Friend</t>
  </si>
  <si>
    <t>Advice For Showing Love When Things Get Tough</t>
  </si>
  <si>
    <t xml:space="preserve">YOUNG ADULT NONFICTION / Social Topics / Depression &amp; Mental Illness </t>
  </si>
  <si>
    <t>Love Mercy</t>
  </si>
  <si>
    <t>A Mother and Daughter's Journey From the American Dream to the Kingdom of God</t>
  </si>
  <si>
    <t>Lisa Samson-Ty Samson</t>
  </si>
  <si>
    <t>The Only Road North</t>
  </si>
  <si>
    <t>9,000 Miles of Dirt and Dreams</t>
  </si>
  <si>
    <t>DT12.25</t>
  </si>
  <si>
    <t>Erik Mirandette</t>
  </si>
  <si>
    <t>Don't Let the Goats Eat the Loquat Trees</t>
  </si>
  <si>
    <t>The Adventures of an American Surgeon in Nepal</t>
  </si>
  <si>
    <t>Thomas Hale</t>
  </si>
  <si>
    <t>Start With Me</t>
  </si>
  <si>
    <t>A Modern Parable</t>
  </si>
  <si>
    <t>Michael Seaton-John D BlasÃ©</t>
  </si>
  <si>
    <t>START</t>
  </si>
  <si>
    <t>The Irresistible Revolution, Updated and Expanded</t>
  </si>
  <si>
    <t>Living As an Ordinary Radical</t>
  </si>
  <si>
    <t>BR1725.C473</t>
  </si>
  <si>
    <t>Christian biography--United States.,Christian life--United States.,Church and the world.</t>
  </si>
  <si>
    <t>Shane Claiborne</t>
  </si>
  <si>
    <t>Muslims Next Door</t>
  </si>
  <si>
    <t>Uncovering Myths and Creating Friendships</t>
  </si>
  <si>
    <t>RELIGION / Islam / Theology</t>
  </si>
  <si>
    <t>BV2625</t>
  </si>
  <si>
    <t>Islam.,Missions to Muslims--United States.</t>
  </si>
  <si>
    <t>Shirin Taber</t>
  </si>
  <si>
    <t>Southern Storm-Cape Refuge 2 in 1</t>
  </si>
  <si>
    <t>Stand Beautiful Activity Kit</t>
  </si>
  <si>
    <t>RD783</t>
  </si>
  <si>
    <t>Abnormalities, Human.,Bullying.,Christian life.,Individuality.,Self-reliance.</t>
  </si>
  <si>
    <t>Dear God</t>
  </si>
  <si>
    <t>Honest Prayers to a God Who Listens</t>
  </si>
  <si>
    <t>Glamour</t>
  </si>
  <si>
    <t xml:space="preserve">YOUNG ADULT FICTION / Fashion &amp; Beauty </t>
  </si>
  <si>
    <t>On the Runway</t>
  </si>
  <si>
    <t>Coffee Shop Conversations</t>
  </si>
  <si>
    <t>Making the Most of Spiritual Small Talk</t>
  </si>
  <si>
    <t>Dale and Jonalyn Fincher</t>
  </si>
  <si>
    <t>Suffer Strong</t>
  </si>
  <si>
    <t>How to Survive Anything by Redefining Everything</t>
  </si>
  <si>
    <t>Katherine Wolf-Jay Wolf</t>
  </si>
  <si>
    <t>A Plain and Simple Christmas</t>
  </si>
  <si>
    <t>A Woman Called Sage</t>
  </si>
  <si>
    <t>DiAnn Mills</t>
  </si>
  <si>
    <t>If I Run</t>
  </si>
  <si>
    <t>If I Run Series</t>
  </si>
  <si>
    <t>Becca by the Book</t>
  </si>
  <si>
    <t>FICTION / Coming of Age</t>
  </si>
  <si>
    <t>Zealous Love</t>
  </si>
  <si>
    <t>A Practical Guide to Social Justice</t>
  </si>
  <si>
    <t>Mike Yankoski-Danae Yankoski</t>
  </si>
  <si>
    <t>Greater Expectations (Frames Series)</t>
  </si>
  <si>
    <t>Succeed (and Stay Sane) in an On-Demand, All-Access, Always-On Age</t>
  </si>
  <si>
    <t>Barna Group-Claire Diaz-Ortiz</t>
  </si>
  <si>
    <t>Ready for Kindergarten</t>
  </si>
  <si>
    <t>An Award-Winning Teacher's Plan to Prepare Your Child for School</t>
  </si>
  <si>
    <t>Sharon Wilkins</t>
  </si>
  <si>
    <t>The Bridge Tender</t>
  </si>
  <si>
    <t>Improv Leadership</t>
  </si>
  <si>
    <t>How to Lead Well in Every Moment</t>
  </si>
  <si>
    <t>Stan Endicott-David Miller-Cory Hartman</t>
  </si>
  <si>
    <t>What Works</t>
  </si>
  <si>
    <t>Common Sense Solutions for a Stronger America</t>
  </si>
  <si>
    <t>POLITICAL SCIENCE / Public Policy / General</t>
  </si>
  <si>
    <t>Cal Thomas</t>
  </si>
  <si>
    <t>Present Perfect</t>
  </si>
  <si>
    <t>Finding God in the Now</t>
  </si>
  <si>
    <t>Wrestling With Wonder</t>
  </si>
  <si>
    <t>A Transformational Journey Through the Life of Mary</t>
  </si>
  <si>
    <t>Marlo Schalesky</t>
  </si>
  <si>
    <t>Runaway Heart</t>
  </si>
  <si>
    <t>Westward Dreams</t>
  </si>
  <si>
    <t>The Above the Line Collection</t>
  </si>
  <si>
    <t>The Baxters Take One, The Baxters Take Two, The Baxters Take Three, The Baxters Take Four</t>
  </si>
  <si>
    <t>Above the Line Series</t>
  </si>
  <si>
    <t>The Awakening of Hope</t>
  </si>
  <si>
    <t>Why We Practice a Common Faith</t>
  </si>
  <si>
    <t>Jesus Without Borders</t>
  </si>
  <si>
    <t>What Planes, Trains, and Rickshaws Taught Me About Jesus</t>
  </si>
  <si>
    <t>Chad Gibbs</t>
  </si>
  <si>
    <t>Ransomed Bride</t>
  </si>
  <si>
    <t>Book 2</t>
  </si>
  <si>
    <t>The 21-Day Financial Fast</t>
  </si>
  <si>
    <t>Your Path to Financial Peace and Freedom</t>
  </si>
  <si>
    <t>Finance, Personal--Biblical teaching.,Finance, Personal--Religious aspects.</t>
  </si>
  <si>
    <t>Michelle Singletary</t>
  </si>
  <si>
    <t>Lone Star Hero Love Stories</t>
  </si>
  <si>
    <t>The Loyal Heart, An Uncommon Protector, Love Held Captive</t>
  </si>
  <si>
    <t>Project Inspired</t>
  </si>
  <si>
    <t>Tips and Tricks for Staying True to Who You Are</t>
  </si>
  <si>
    <t>Nicole Weider-Kristin Billerbeck</t>
  </si>
  <si>
    <t>Fighting for Peace (Frames Series)</t>
  </si>
  <si>
    <t>Your Role in a Culture Too Comfortable with Violence</t>
  </si>
  <si>
    <t>Barna Group-Carol Howard Merritt</t>
  </si>
  <si>
    <t>Doing Good Is Simple</t>
  </si>
  <si>
    <t>Making a Difference Right Where You Are</t>
  </si>
  <si>
    <t>Chris Marlow</t>
  </si>
  <si>
    <t>The Amish of Bee County Collection</t>
  </si>
  <si>
    <t>The Beekeeper's Son, The Bishop's Son, The Saddle Maker's Son</t>
  </si>
  <si>
    <t>Hearts in Harmony</t>
  </si>
  <si>
    <t>Wisdom On â€¦ Friends, Dating, and Relationships</t>
  </si>
  <si>
    <t>Rendezvous</t>
  </si>
  <si>
    <t>YOUNG ADULT FICTION / Family / General</t>
  </si>
  <si>
    <t>Amish Celebrations</t>
  </si>
  <si>
    <t>Four Novellas</t>
  </si>
  <si>
    <t>Disruptive Compassion</t>
  </si>
  <si>
    <t>Becoming the Revolutionary You Were Born to Be</t>
  </si>
  <si>
    <t>Hal Donaldson-Kirk Noonan-Lindsay Kay Donaldson</t>
  </si>
  <si>
    <t>The Hearts of the Lancaster Grand Hotel Collection</t>
  </si>
  <si>
    <t>A Hopeful Heart, A Mother's Secret, A Dream of Home, A Simple Prayer</t>
  </si>
  <si>
    <t>Never a Bridesmaid</t>
  </si>
  <si>
    <t>A May Wedding Story</t>
  </si>
  <si>
    <t>Janice Thompson</t>
  </si>
  <si>
    <t>The Sacred Overlap</t>
  </si>
  <si>
    <t>Learning to Live Faithfully in the Space Between</t>
  </si>
  <si>
    <t>J.R. Briggs</t>
  </si>
  <si>
    <t>Seedbed Resources</t>
  </si>
  <si>
    <t>For Love and Honor</t>
  </si>
  <si>
    <t>Boyfriends, Burritos and an Ocean of Trouble</t>
  </si>
  <si>
    <t>Savor</t>
  </si>
  <si>
    <t>Living Abundantly Where You Are, As You Are</t>
  </si>
  <si>
    <t>Homeless at Harvard</t>
  </si>
  <si>
    <t>Finding Faith and Friendship on the Streets of Harvard Square</t>
  </si>
  <si>
    <t>John Christopher Frame</t>
  </si>
  <si>
    <t>Found Art</t>
  </si>
  <si>
    <t>Discovering Beauty in Foreign Places</t>
  </si>
  <si>
    <t>Leeana Tankersley</t>
  </si>
  <si>
    <t>Pieces of Glass</t>
  </si>
  <si>
    <t>A Moment of Tragedy, a Lifetime of Faith</t>
  </si>
  <si>
    <t>Sarah Kay</t>
  </si>
  <si>
    <t>Beyond Championships</t>
  </si>
  <si>
    <t>How to Catch a Prince</t>
  </si>
  <si>
    <t>Rachel Hauck</t>
  </si>
  <si>
    <t>Royal Wedding Series</t>
  </si>
  <si>
    <t>KJV, My Holy Bible for African-American Children</t>
  </si>
  <si>
    <t>Co-Parenting Works!</t>
  </si>
  <si>
    <t>Helping Your Children Thrive After Divorce</t>
  </si>
  <si>
    <t>Tammy G Daughtry</t>
  </si>
  <si>
    <t>Head in the Clouds, Feet on the Ground</t>
  </si>
  <si>
    <t>A Survival Guide for Creatives, Visionaries, and Dreamers</t>
  </si>
  <si>
    <t>Ryan Romeo</t>
  </si>
  <si>
    <t>Once Upon a Prince</t>
  </si>
  <si>
    <t>FICTION / Romance / Royalty</t>
  </si>
  <si>
    <t>7 Secrets to an Awesome Marriage</t>
  </si>
  <si>
    <t>Strengthen Your Most Intimate Relationship</t>
  </si>
  <si>
    <t>Kim Kimberling, PhD</t>
  </si>
  <si>
    <t>Plain Faith</t>
  </si>
  <si>
    <t>A True Story of Tragedy, Loss and Leaving the Amish</t>
  </si>
  <si>
    <t>Irene Eash-Ora Jay Eash-Tricia Goyer</t>
  </si>
  <si>
    <t>The Ultimate Guide to the Daniel Fast</t>
  </si>
  <si>
    <t>Kristen Feola</t>
  </si>
  <si>
    <t>When Jesus Wept</t>
  </si>
  <si>
    <t>Bodie Thoene</t>
  </si>
  <si>
    <t>Ten Secrets for the Man in the Mirror</t>
  </si>
  <si>
    <t>Startling Ideas About True Happiness</t>
  </si>
  <si>
    <t>Patrick Morley</t>
  </si>
  <si>
    <t>The Story Devotional</t>
  </si>
  <si>
    <t>Discover Your Role in God's Story</t>
  </si>
  <si>
    <t>Settle My Soul</t>
  </si>
  <si>
    <t>100 Quiet Moments to Meet with Jesus</t>
  </si>
  <si>
    <t>Pressing Pause</t>
  </si>
  <si>
    <t>The Black Christian Singles Guide to Dating and Sexuality</t>
  </si>
  <si>
    <t>Chris Jackson</t>
  </si>
  <si>
    <t>Now What?</t>
  </si>
  <si>
    <t>God's Guide to Life for Graduates</t>
  </si>
  <si>
    <t>Parenting on Your Own</t>
  </si>
  <si>
    <t>Lynda Hunter</t>
  </si>
  <si>
    <t>Limos, Lattes and My Life on the Fringe</t>
  </si>
  <si>
    <t>The Sunset Beach Collection</t>
  </si>
  <si>
    <t>The Guest Book, The Wishing Tree, The Bridge Tender</t>
  </si>
  <si>
    <t>The God of Comfort</t>
  </si>
  <si>
    <t>100 Bible Verses to Soothe Your Spirit</t>
  </si>
  <si>
    <t>Not Safe</t>
  </si>
  <si>
    <t>Discovering God's Dangerous Plan for Your Life</t>
  </si>
  <si>
    <t>Revival Fire</t>
  </si>
  <si>
    <t>Wesley L. Duewel</t>
  </si>
  <si>
    <t>Live Love Now</t>
  </si>
  <si>
    <t>Relieve the Pressure and Find Real Connection with Our Kids</t>
  </si>
  <si>
    <t>FAMILY &amp; RELATIONSHIPS / Life Stages / Teenagers</t>
  </si>
  <si>
    <t>Mark of Evil</t>
  </si>
  <si>
    <t>Calvinism in the Las Vegas Airport</t>
  </si>
  <si>
    <t>Making Connections in Today's World</t>
  </si>
  <si>
    <t>BX9422.3</t>
  </si>
  <si>
    <t>Calvinism.,Reformed Church--Creeds--History and criticism.</t>
  </si>
  <si>
    <t>Richard J. Mouw</t>
  </si>
  <si>
    <t>Fire of the Raging Dragon</t>
  </si>
  <si>
    <t>Pacific Rim Series</t>
  </si>
  <si>
    <t>The Year of Living Happy</t>
  </si>
  <si>
    <t>Finding Contentment and Connection in a Crazy World</t>
  </si>
  <si>
    <t>Fireworks</t>
  </si>
  <si>
    <t>Jesus, Continued...</t>
  </si>
  <si>
    <t>Why the Spirit Inside You Is Better Than Jesus Beside You</t>
  </si>
  <si>
    <t>Finding a Church You Can Love and Loving the Church You've Found</t>
  </si>
  <si>
    <t>When Your Rope Breaks</t>
  </si>
  <si>
    <t>Ruth Graham-Jerry L. Sittser-Joni Eareckson Tada</t>
  </si>
  <si>
    <t>In Tune with Love</t>
  </si>
  <si>
    <t>An April Wedding Story</t>
  </si>
  <si>
    <t>Amy Matayo</t>
  </si>
  <si>
    <t>Leading Your Child to Jesus</t>
  </si>
  <si>
    <t>How Parents Can Talk with Their Kids About Faith</t>
  </si>
  <si>
    <t>David Staal</t>
  </si>
  <si>
    <t>The Hyperlinked Life</t>
  </si>
  <si>
    <t>Live with Wisdom in an Age of Information Overload</t>
  </si>
  <si>
    <t>Barna Group-Jun Young-David Kinnaman</t>
  </si>
  <si>
    <t>Chasing Grace</t>
  </si>
  <si>
    <t>What the Quarter Mile Has Taught Me About God and Life</t>
  </si>
  <si>
    <t>The Mountain Midwife</t>
  </si>
  <si>
    <t>Jesus Journey</t>
  </si>
  <si>
    <t>Shattering the Stained Glass Superhero and Discovering the Humanity of God</t>
  </si>
  <si>
    <t>Trent Sheppard</t>
  </si>
  <si>
    <t>Praising God From Head to Foot</t>
  </si>
  <si>
    <t>Wisdom On ... Time and Money</t>
  </si>
  <si>
    <t>Conversations with Jesus, Updated and Revised Edition</t>
  </si>
  <si>
    <t>Talk That Really Matters</t>
  </si>
  <si>
    <t>Youth For Christ</t>
  </si>
  <si>
    <t>Weight-Loss Hero</t>
  </si>
  <si>
    <t>Transform Your Mind and Your Body with a Healthy Keto Lifestyle</t>
  </si>
  <si>
    <t>RM222.2</t>
  </si>
  <si>
    <t>Exercise.,Health behavior.,Physical fitness--Health aspects.,Reducing diets.</t>
  </si>
  <si>
    <t>Christine Carter</t>
  </si>
  <si>
    <t>Fairy Tale Romance Collection</t>
  </si>
  <si>
    <t>The Healerâ€™s Apprentice, The Merchantâ€™s Daughter, The Fairest Beauty, The Captive Maiden, The Princess Spy</t>
  </si>
  <si>
    <t>Who's Picking Me Up From the Airport?</t>
  </si>
  <si>
    <t>And Other Questions Single Girls Ask</t>
  </si>
  <si>
    <t>Cindy Johnson</t>
  </si>
  <si>
    <t>Finding the Real Jesus</t>
  </si>
  <si>
    <t>A Guide for Curious Christians and Skeptical Seekers</t>
  </si>
  <si>
    <t>When Donkeys Talk</t>
  </si>
  <si>
    <t>A Quest to Rediscover the Mystery and Wonder of Christianity</t>
  </si>
  <si>
    <t>Tyler Blanski</t>
  </si>
  <si>
    <t>Amish Sweethearts</t>
  </si>
  <si>
    <t>Four Amish Novellas</t>
  </si>
  <si>
    <t>Seasons of an Amish Garden</t>
  </si>
  <si>
    <t>The Sacred Enneagram Workbook</t>
  </si>
  <si>
    <t>Mapping Your Unique Path to Spiritual Growth</t>
  </si>
  <si>
    <t>RELIGION / Christian Rituals &amp; Practice / General</t>
  </si>
  <si>
    <t>Christopher L. Heuertz-Estee Zandee</t>
  </si>
  <si>
    <t>Daily Guideposts 365 Spirit-Lifting Devotions for Women</t>
  </si>
  <si>
    <t>From This Day Forward</t>
  </si>
  <si>
    <t>Five Commitments to Fail-Proof Your Marriage</t>
  </si>
  <si>
    <t>Craig Groeschel-Amy Groeschel</t>
  </si>
  <si>
    <t>Off the Record</t>
  </si>
  <si>
    <t>Warrior</t>
  </si>
  <si>
    <t xml:space="preserve">YOUNG ADULT FICTION / Magical Realism </t>
  </si>
  <si>
    <t>Rookie Dad</t>
  </si>
  <si>
    <t>Thoughts on First-Time Fatherhood</t>
  </si>
  <si>
    <t>David Jacobsen</t>
  </si>
  <si>
    <t>Leaving</t>
  </si>
  <si>
    <t>Rhythms of Renewal</t>
  </si>
  <si>
    <t>Trading Stress and Anxiety for a Life of Peace and Purpose</t>
  </si>
  <si>
    <t>51 Creative Ideas for Marriage Mentors</t>
  </si>
  <si>
    <t>Connecting Couples to Build Better Marriages</t>
  </si>
  <si>
    <t>BV4012.27</t>
  </si>
  <si>
    <t>Church work with married people.,Marriage--Religious aspects--Christianity.,Mentoring in church work.</t>
  </si>
  <si>
    <t>Day-votions for Grandmothers</t>
  </si>
  <si>
    <t>Boomers on the Edge</t>
  </si>
  <si>
    <t>Three Realities That Will Change Your Life Forever</t>
  </si>
  <si>
    <t>A Kauffman Amish Christmas Collection</t>
  </si>
  <si>
    <t>Praying the Scriptures for Your Children 20th Anniversary Edition</t>
  </si>
  <si>
    <t>Discover How to Pray God's Purpose for Their Lives</t>
  </si>
  <si>
    <t>An Amish Singing</t>
  </si>
  <si>
    <t>Debra Clopton</t>
  </si>
  <si>
    <t>FAMILY &amp; RELATIONSHIPS / Children with Special Needs</t>
  </si>
  <si>
    <t>BIOGRAPHY &amp; AUTOBIOGRAPHY / Military</t>
  </si>
  <si>
    <t>HISTORY / Wars &amp; Conflicts / World War II / General</t>
  </si>
  <si>
    <t>Interpreting Jesus</t>
  </si>
  <si>
    <t>Essays on the Gospels</t>
  </si>
  <si>
    <t>Interpreting Paul</t>
  </si>
  <si>
    <t>Essays on the Apostle and His Letters</t>
  </si>
  <si>
    <t>More Than Skin Deep</t>
  </si>
  <si>
    <t>A Guide to Self and Soul</t>
  </si>
  <si>
    <t>Zondervan/Boyd</t>
  </si>
  <si>
    <t>Falling to Pieces</t>
  </si>
  <si>
    <t>A Shipshewana Amish Mystery</t>
  </si>
  <si>
    <t>Liberator</t>
  </si>
  <si>
    <t>Presumption of Guilt</t>
  </si>
  <si>
    <t>Creative Love</t>
  </si>
  <si>
    <t>10 Ways to Build a Fun and Lasting Love</t>
  </si>
  <si>
    <t>Sexless in the City</t>
  </si>
  <si>
    <t>A Sometimes Sassy, Sometimes Painful, Always Honest Look at Dating, Desire, and Sex</t>
  </si>
  <si>
    <t>Kat Harris</t>
  </si>
  <si>
    <t>Expectant Moments</t>
  </si>
  <si>
    <t>Devotions for Expectant Couples</t>
  </si>
  <si>
    <t>Gene Fant-Lisa Fant</t>
  </si>
  <si>
    <t>The Innkeeper's Bride</t>
  </si>
  <si>
    <t>An Amish Brides of Birch Creek Novel</t>
  </si>
  <si>
    <t>A Spectacle of Glory</t>
  </si>
  <si>
    <t>God's Light Shining Through Me Every Day</t>
  </si>
  <si>
    <t>Joni Eareckson Tada-Larry Libby</t>
  </si>
  <si>
    <t>Make a Break for It</t>
  </si>
  <si>
    <t>Unleashing the Power of Personal and Spiritual Growth</t>
  </si>
  <si>
    <t>Bill Purvis</t>
  </si>
  <si>
    <t>P.O.D.: The Nexus</t>
  </si>
  <si>
    <t>Mat Broome</t>
  </si>
  <si>
    <t>The Cost</t>
  </si>
  <si>
    <t>My Life on a Terrorist Hit List</t>
  </si>
  <si>
    <t>Ali Husnain-J. Chester</t>
  </si>
  <si>
    <t>Wrestling for My Life</t>
  </si>
  <si>
    <t>The Legend, the Reality, and the Faith of a WWE Superstar</t>
  </si>
  <si>
    <t>Shawn Michaels-David L. Thomas</t>
  </si>
  <si>
    <t>Understanding Spiritual Warfare</t>
  </si>
  <si>
    <t>BT975</t>
  </si>
  <si>
    <t>Demonology.,Devil--Christianity.,Spiritual warfare.</t>
  </si>
  <si>
    <t>How to Revive Evangelism</t>
  </si>
  <si>
    <t>7 Vital Shifts in How We Share Our Faith</t>
  </si>
  <si>
    <t>BV3790 .S67 2021eb</t>
  </si>
  <si>
    <t>Evangelistic work.</t>
  </si>
  <si>
    <t>Craig Springer</t>
  </si>
  <si>
    <t>Bold As a Lamb</t>
  </si>
  <si>
    <t>Pastor Samuel Lamb and the Underground Church of China</t>
  </si>
  <si>
    <t>Day of War</t>
  </si>
  <si>
    <t>The Pledge</t>
  </si>
  <si>
    <t>Value</t>
  </si>
  <si>
    <t>Questions Couples Ask</t>
  </si>
  <si>
    <t>Answers to the Top 100 Marital Questions</t>
  </si>
  <si>
    <t>Forever</t>
  </si>
  <si>
    <t>Why You Canâ€™t Live Without It</t>
  </si>
  <si>
    <t>Paul David Tripp</t>
  </si>
  <si>
    <t>Homecoming Queen</t>
  </si>
  <si>
    <t>Look Who's Laughing!</t>
  </si>
  <si>
    <t>Blind Trust</t>
  </si>
  <si>
    <t>NRSV, Simple Faith Bible</t>
  </si>
  <si>
    <t>Following Jesus Into a Life of Peace, Compassion, and Wholeness</t>
  </si>
  <si>
    <t>Questions You Can't Ask Your Mama About Sex</t>
  </si>
  <si>
    <t>One Realm Beyond</t>
  </si>
  <si>
    <t>Donita K. Paul</t>
  </si>
  <si>
    <t>Realm Walkers</t>
  </si>
  <si>
    <t>Heart Made Whole</t>
  </si>
  <si>
    <t>Turning Your Unhealed Pain Into Your Greatest Strength</t>
  </si>
  <si>
    <t>Christa Black Gifford</t>
  </si>
  <si>
    <t>365 Devotions for Finding Rest</t>
  </si>
  <si>
    <t>Christina Vinson</t>
  </si>
  <si>
    <t>True Love Dates</t>
  </si>
  <si>
    <t>Your Indispensable Guide to Finding the Love of Your Life</t>
  </si>
  <si>
    <t>Debra K. Fileta</t>
  </si>
  <si>
    <t>Share Your Stuff. I'll Go First.</t>
  </si>
  <si>
    <t>10 Questions to Take Your Friendships to the Next Level</t>
  </si>
  <si>
    <t>Laura Tremaine</t>
  </si>
  <si>
    <t>Celebrate Recovery Daily Devotional</t>
  </si>
  <si>
    <t>366 Devotionals</t>
  </si>
  <si>
    <t>John Baker-Johnny Baker</t>
  </si>
  <si>
    <t>God's Words of Life for Grandfathers</t>
  </si>
  <si>
    <t>Madison Park</t>
  </si>
  <si>
    <t>A Place of Hope</t>
  </si>
  <si>
    <t>F334.M753</t>
  </si>
  <si>
    <t>African Americans--Alabama--Montgomery--Biography.,African Americans--Alabama--Montgomery--Social conditions.,Presidents--United States--Staff--Biography.</t>
  </si>
  <si>
    <t>Eric L. Motley</t>
  </si>
  <si>
    <t>Every Body Matters</t>
  </si>
  <si>
    <t>Strengthening Your Body to Strengthen Your Soul</t>
  </si>
  <si>
    <t>BV4598</t>
  </si>
  <si>
    <t>Health--Religious aspects--Christianity.,Physical fitness--Religious aspects--Christianity.</t>
  </si>
  <si>
    <t>No Place Like Home</t>
  </si>
  <si>
    <t>Growth Has No Boundaries</t>
  </si>
  <si>
    <t>The Christianâ€™s Secret to a Deeper Spiritual Life</t>
  </si>
  <si>
    <t>The Daniel Plan Jumpstart Guide</t>
  </si>
  <si>
    <t>Daily Steps to a Healthier Life</t>
  </si>
  <si>
    <t>Growing Slow</t>
  </si>
  <si>
    <t>Lessons on Un-Hurrying Your Heart From an Accidental Farm Girl</t>
  </si>
  <si>
    <t>Peace of mind--Religious aspects--Christianity.,Rhythm--Religious aspects--Christianity.,Stress management for women.</t>
  </si>
  <si>
    <t>Jennifer Dukes Lee</t>
  </si>
  <si>
    <t>Who Is This Child?</t>
  </si>
  <si>
    <t>From Common Babe to King of Kings</t>
  </si>
  <si>
    <t>The Moonlighters Collection</t>
  </si>
  <si>
    <t>Truth Stained Lies, Distortion, Twisted Innocence</t>
  </si>
  <si>
    <t>Moonlighters Series</t>
  </si>
  <si>
    <t>Immanuel</t>
  </si>
  <si>
    <t>A Daily Guide to Reclaiming the True Meaning of Christmas</t>
  </si>
  <si>
    <t>Kill the Spider</t>
  </si>
  <si>
    <t>Getting Rid of Whatâ€™s Really Holding You Back</t>
  </si>
  <si>
    <t>Carlos Whittaker</t>
  </si>
  <si>
    <t>The Church Builder</t>
  </si>
  <si>
    <t>The Church Builder Series</t>
  </si>
  <si>
    <t>Prodigal Daughter</t>
  </si>
  <si>
    <t>A Familyâ€™s Brave Journey Through Addiction and Recovery</t>
  </si>
  <si>
    <t>Rob Koke-Danielle Koke Germain</t>
  </si>
  <si>
    <t>Relational Intelligence</t>
  </si>
  <si>
    <t>The People Skills You Need for the Life of Purpose You Want</t>
  </si>
  <si>
    <t>Dharius Daniels</t>
  </si>
  <si>
    <t>Moms in Prayer</t>
  </si>
  <si>
    <t>Standing in the Gap for Your Children</t>
  </si>
  <si>
    <t>Fern Nichols-Janet Kobobel Grant</t>
  </si>
  <si>
    <t>Brink of Chaos</t>
  </si>
  <si>
    <t>God, Greed, and the (Prosperity) Gospel</t>
  </si>
  <si>
    <t>How Truth Overwhelms a Life Built on Lies</t>
  </si>
  <si>
    <t>Sophie Under Pressure</t>
  </si>
  <si>
    <t>Insider Outsider</t>
  </si>
  <si>
    <t>My Journey As a Stranger in White Evangelicalism and My Hope for Us All</t>
  </si>
  <si>
    <t>Bryan Loritts</t>
  </si>
  <si>
    <t>If I'm Found</t>
  </si>
  <si>
    <t>An Eye for Glory</t>
  </si>
  <si>
    <t>The Civil War Chronicles of a Citizen Soldier</t>
  </si>
  <si>
    <t>Karl Bacon</t>
  </si>
  <si>
    <t>The Color of Life</t>
  </si>
  <si>
    <t>A Journey Toward Love and Racial Justice</t>
  </si>
  <si>
    <t>Cara Meredith</t>
  </si>
  <si>
    <t>His Brain, Her Brain</t>
  </si>
  <si>
    <t>How Divinely Designed Differences Can Strengthen Your Marriage</t>
  </si>
  <si>
    <t>Walt and Barb Larimore</t>
  </si>
  <si>
    <t>Katy's Debate</t>
  </si>
  <si>
    <t>Putting It Together Again When It's All Fallen Apart</t>
  </si>
  <si>
    <t>7 Principles for Rebuilding Your Life</t>
  </si>
  <si>
    <t>An Amish Quilt</t>
  </si>
  <si>
    <t>Patchwork Perfect, A Bid for Love, A Midwife's Dream</t>
  </si>
  <si>
    <t>Beth Wiseman-Kathleen Fuller-Kelly Irvin</t>
  </si>
  <si>
    <t>The Daniel Plan Cookbook</t>
  </si>
  <si>
    <t>Healthy Eating for Life</t>
  </si>
  <si>
    <t>COOKING / Health &amp; Healing / Diabetic &amp; Sugar-Free</t>
  </si>
  <si>
    <t>Rick Warren-Dr. Mark Hyman-Dr. Daniel Amen</t>
  </si>
  <si>
    <t>Wonder Women (Frames Series)</t>
  </si>
  <si>
    <t>Navigating the Challenges of Motherhood, Career, and Identity</t>
  </si>
  <si>
    <t>Barna Group-Kate Harris</t>
  </si>
  <si>
    <t>Start with Your People</t>
  </si>
  <si>
    <t>The Daily Decision That Changes Everything</t>
  </si>
  <si>
    <t>Brian Dixon</t>
  </si>
  <si>
    <t>Hero's Bride</t>
  </si>
  <si>
    <t>NIV, Once-A-Day: Men and Women of the Bible Devotional</t>
  </si>
  <si>
    <t>365 Insights From Scripture's Most Memorable People</t>
  </si>
  <si>
    <t>Advent Conspiracy</t>
  </si>
  <si>
    <t>Making Christmas Meaningful (Again)</t>
  </si>
  <si>
    <t>Rick McKinley-Chris Seay-Greg Holder</t>
  </si>
  <si>
    <t>The Fruits of Fall</t>
  </si>
  <si>
    <t>A Seasons of an Amish Garden Story</t>
  </si>
  <si>
    <t>Heaven</t>
  </si>
  <si>
    <t>Your Real Home...From a Higher Perspective</t>
  </si>
  <si>
    <t>The Second Chances Collection</t>
  </si>
  <si>
    <t>Never Again Good-bye, When Dreams Cross, Blind Trust, Broken Wings</t>
  </si>
  <si>
    <t>What Falls From the Sky</t>
  </si>
  <si>
    <t>How I Disconnected From the Internet and Reconnected with the God Who Made the Clouds</t>
  </si>
  <si>
    <t>Esther Emery</t>
  </si>
  <si>
    <t>NRSV Bible with the Apocrypha</t>
  </si>
  <si>
    <t>A June Bride</t>
  </si>
  <si>
    <t>Case for Christ/Case for Faith Compilation</t>
  </si>
  <si>
    <t>The Teacher's Bride</t>
  </si>
  <si>
    <t>Raising Sons and Loving It!</t>
  </si>
  <si>
    <t>Helping Your Boys Become Godly Men</t>
  </si>
  <si>
    <t>Gary Oliver-Carrie Oliver</t>
  </si>
  <si>
    <t>Preparing Your Heart for Marriage</t>
  </si>
  <si>
    <t>Devotions for Engaged Couples</t>
  </si>
  <si>
    <t>Speak</t>
  </si>
  <si>
    <t>How Your Story Can Change the World</t>
  </si>
  <si>
    <t>Nish Weiseth</t>
  </si>
  <si>
    <t>When Dreams Cross</t>
  </si>
  <si>
    <t>When Your Doctor Has Bad News</t>
  </si>
  <si>
    <t>Simple Steps to Strength, Healing, and Hope</t>
  </si>
  <si>
    <t>HEALTH &amp; FITNESS / Health Care Issues</t>
  </si>
  <si>
    <t>Al B. Weir</t>
  </si>
  <si>
    <t>Alternative Medicine</t>
  </si>
  <si>
    <t>Donal O'Mathuna-Walt Larimore, MD</t>
  </si>
  <si>
    <t>A Kingdom Called Desire</t>
  </si>
  <si>
    <t>Confronted by the Love of a Risen King</t>
  </si>
  <si>
    <t>Rick McKinley</t>
  </si>
  <si>
    <t>My Changes</t>
  </si>
  <si>
    <t>A Dangerous Stage</t>
  </si>
  <si>
    <t>The Dude Abides</t>
  </si>
  <si>
    <t>The Gospel According to the Coen Brothers</t>
  </si>
  <si>
    <t>PERFORMING ARTS / Film / General</t>
  </si>
  <si>
    <t>Viva Vermont!</t>
  </si>
  <si>
    <t>The Gentle Giant of Dynamite Hill</t>
  </si>
  <si>
    <t>The Untold Story of Arthur Shores and His Familyâ€™s Fight for Civil Rights</t>
  </si>
  <si>
    <t>Helen Shores Lee-Barbara Sylvia Shores-Denise George</t>
  </si>
  <si>
    <t>A Legacy of Faith</t>
  </si>
  <si>
    <t>Things I Learned From My Father</t>
  </si>
  <si>
    <t>Ruth Graham-Stacy Mattingly</t>
  </si>
  <si>
    <t>This Day with the Master</t>
  </si>
  <si>
    <t>365 Daily Meditations</t>
  </si>
  <si>
    <t>Dennis F. Kinlaw</t>
  </si>
  <si>
    <t>Discovery Devotional Series</t>
  </si>
  <si>
    <t>Our Mothers, Ourselves</t>
  </si>
  <si>
    <t>How Understanding Your Mother's Influence Can Set You on a Path to a Better Life</t>
  </si>
  <si>
    <t>Magnificent Prayer</t>
  </si>
  <si>
    <t>366 Devotions to Deepen Your Prayer Experience</t>
  </si>
  <si>
    <t>Nick Harrison</t>
  </si>
  <si>
    <t>Who Is My Enemy?</t>
  </si>
  <si>
    <t>Welcoming People the Church Rejects</t>
  </si>
  <si>
    <t>Rich Nathan</t>
  </si>
  <si>
    <t>The God I Love</t>
  </si>
  <si>
    <t>A Lifetime of Walking with Jesus</t>
  </si>
  <si>
    <t>Veneer</t>
  </si>
  <si>
    <t>Living Deeply in a Surface Society</t>
  </si>
  <si>
    <t>Timothy D. Willard-Jason Locy</t>
  </si>
  <si>
    <t>The Way of Letting Go</t>
  </si>
  <si>
    <t>One Woman's Walk Toward Forgiveness</t>
  </si>
  <si>
    <t>Wilma Derksen</t>
  </si>
  <si>
    <t>Stumbling Toward Faith</t>
  </si>
  <si>
    <t>RenÃ©e N. Altson</t>
  </si>
  <si>
    <t>An Amish Spring</t>
  </si>
  <si>
    <t>A Son for Always, A Love for Irma Rose, Where Healing Blooms</t>
  </si>
  <si>
    <t>Loveable</t>
  </si>
  <si>
    <t>Embracing What Is Truest About You, So You Can Truly Embrace Your Life</t>
  </si>
  <si>
    <t>BF637.S4</t>
  </si>
  <si>
    <t>Relationship quality.,Self-esteem--Religious aspects--Christianity.,Shame--Religious aspects--Christianity.</t>
  </si>
  <si>
    <t>Kelly Flanagan</t>
  </si>
  <si>
    <t>How to Survive a Shipwreck</t>
  </si>
  <si>
    <t>Help Is On the Way and Love Is Already Here</t>
  </si>
  <si>
    <t>Unstuffed</t>
  </si>
  <si>
    <t>Decluttering Your Home, Mind and Soul</t>
  </si>
  <si>
    <t>Coming Home</t>
  </si>
  <si>
    <t>Stacy Hawkins Adams</t>
  </si>
  <si>
    <t>Winds of Change</t>
  </si>
  <si>
    <t>Who Speaks to Your Heart?</t>
  </si>
  <si>
    <t>Tuning in to Hear God's Whispers</t>
  </si>
  <si>
    <t>Beating the College Debt Trap</t>
  </si>
  <si>
    <t>Getting a Degree Without Going Broke</t>
  </si>
  <si>
    <t>Alex Chediak</t>
  </si>
  <si>
    <t>The Chicago World's Fair Mystery Collection</t>
  </si>
  <si>
    <t>Secrets of Sloane House, Deception on Sable Hill, and Whispers in the Reading Room</t>
  </si>
  <si>
    <t>Shelley Gray</t>
  </si>
  <si>
    <t>The Chicago Worldâ€™s Fair Mystery Series</t>
  </si>
  <si>
    <t>The Beautiful Word Devotional</t>
  </si>
  <si>
    <t>Bringing the Goodness of Scripture to Life in Your Heart</t>
  </si>
  <si>
    <t>Think Big</t>
  </si>
  <si>
    <t>Unleashing Your Potential for Excellence</t>
  </si>
  <si>
    <t>Ben Carson, M.D.-Cecil Murphey</t>
  </si>
  <si>
    <t>God and Football</t>
  </si>
  <si>
    <t>Faith and Fanaticism in the Southeastern Conference</t>
  </si>
  <si>
    <t>No Perfect Parents</t>
  </si>
  <si>
    <t>Ditch Expectations, Embrace Reality, and Discover the One Secret That Will Change Your Parenting</t>
  </si>
  <si>
    <t>Dave Wilson-Ann Wilson-John Driver</t>
  </si>
  <si>
    <t>How Healthy Is Your Spirituality?</t>
  </si>
  <si>
    <t>Honest Advent</t>
  </si>
  <si>
    <t>Awakening to the Wonder of God-with-Us Then, Here, and Now</t>
  </si>
  <si>
    <t>A Montclair Homecoming</t>
  </si>
  <si>
    <t>Today's Moment of Truth</t>
  </si>
  <si>
    <t>Devotions to Deepen Your Faith in Christ</t>
  </si>
  <si>
    <t>Warrior's Heart</t>
  </si>
  <si>
    <t>The Baxters Take One</t>
  </si>
  <si>
    <t>Murder Simply Brewed</t>
  </si>
  <si>
    <t>Mom's Little Book of Powerful Prayers</t>
  </si>
  <si>
    <t>Fern Nichols</t>
  </si>
  <si>
    <t>The Belle Meade Plantation Collection</t>
  </si>
  <si>
    <t>To Whisper Her Name, To Win Her Favor, To Wager Her Heart, To Mend a Dream</t>
  </si>
  <si>
    <t>Tamera Alexander</t>
  </si>
  <si>
    <t>A Belle Meade Plantation Novel</t>
  </si>
  <si>
    <t>Starry-Eyed</t>
  </si>
  <si>
    <t>Seeing Grace in the Unfolding Constellation of Life and Motherhood</t>
  </si>
  <si>
    <t>Mandy Arioto</t>
  </si>
  <si>
    <t>The Mediterranean Love Plan</t>
  </si>
  <si>
    <t>7 Secrets to Lifelong Passion in Marriage</t>
  </si>
  <si>
    <t>Stephen Arterburn-Misty Arterburn-Becky Johnson</t>
  </si>
  <si>
    <t>Work, Love, Pray</t>
  </si>
  <si>
    <t>Practical Wisdom for Young Professional Christian Women</t>
  </si>
  <si>
    <t>Diane Paddison</t>
  </si>
  <si>
    <t>Jacob's Way</t>
  </si>
  <si>
    <t>A Man's Heart</t>
  </si>
  <si>
    <t>The Heart of the Story</t>
  </si>
  <si>
    <t>Discover Your Life Within the Grand Epic of Godâ€™s Story</t>
  </si>
  <si>
    <t>The Pacific Rim Collection</t>
  </si>
  <si>
    <t>Thunder in the Morning Calm, Fire of the Raging Dragon, Storming the Black Ice</t>
  </si>
  <si>
    <t>The Hidden Deep</t>
  </si>
  <si>
    <t>An Amish Barn Raising</t>
  </si>
  <si>
    <t>Amy Clipston-Kelly Irvin-Kathleen Fuller</t>
  </si>
  <si>
    <t>Recovering From Biblical Manhood and Womanhood: How the Church Needs to Rediscover Her Purpose</t>
  </si>
  <si>
    <t>Can't Nothing Bring Me Down</t>
  </si>
  <si>
    <t>Chasing Myself in the Race Against Time</t>
  </si>
  <si>
    <t>SELF-HELP / Aging</t>
  </si>
  <si>
    <t>GV1061.15.K395 A3 2018eb</t>
  </si>
  <si>
    <t>Women runners--United States--Biography.</t>
  </si>
  <si>
    <t>Ida Keeling-Anita Diggs</t>
  </si>
  <si>
    <t>A New Beginning</t>
  </si>
  <si>
    <t>Murder Tightly Knit</t>
  </si>
  <si>
    <t>Men of Courage</t>
  </si>
  <si>
    <t>Godâ€™s Call to Move Beyond the Silence of Adam</t>
  </si>
  <si>
    <t>Larry Crabb-Don Michael Hudson-Al Andrews</t>
  </si>
  <si>
    <t>Tap Code</t>
  </si>
  <si>
    <t>The Epic Survival Tale of a Vietnam POW and the Secret Code That Changed Everything</t>
  </si>
  <si>
    <t>Carlyle S. Harris-Sara W. Berry</t>
  </si>
  <si>
    <t>Gods at War Student Edition</t>
  </si>
  <si>
    <t>The Battle for Your Heart That Will Define Your Life</t>
  </si>
  <si>
    <t>The Passion Generation</t>
  </si>
  <si>
    <t>The Seemingly Reckless, Definitely Disruptive, But Far From Hopeless Millennials</t>
  </si>
  <si>
    <t>BV4529.2</t>
  </si>
  <si>
    <t>Christianity and culture--United States.,Generation Y--Religious life.,Young adults--Religious life.</t>
  </si>
  <si>
    <t>Grant Skeldon-Ryan Casey Waller</t>
  </si>
  <si>
    <t>Soul Friends</t>
  </si>
  <si>
    <t>What Every Woman Needs to Grow in Her Faith</t>
  </si>
  <si>
    <t>Misfit Table</t>
  </si>
  <si>
    <t>Let Your Hunger Lead You to Where You Belong</t>
  </si>
  <si>
    <t>Tiffini Kilgore</t>
  </si>
  <si>
    <t>Four Small Words</t>
  </si>
  <si>
    <t>A Simple Way to Understand the Bible</t>
  </si>
  <si>
    <t>BS476</t>
  </si>
  <si>
    <t>All Groan Up</t>
  </si>
  <si>
    <t>Searching for Self, Faith, and a Freaking Job!</t>
  </si>
  <si>
    <t>Paul Angone</t>
  </si>
  <si>
    <t>NRSV, The Daily Bible</t>
  </si>
  <si>
    <t>Read, Meditate, and Pray Through the Entire Bible in 365 Days</t>
  </si>
  <si>
    <t>Daily Guideposts: 40 Devotions for Lent</t>
  </si>
  <si>
    <t>The Where the Heart Lives Collection</t>
  </si>
  <si>
    <t>Hymn of Praise</t>
  </si>
  <si>
    <t>Attack of the Spider Bots</t>
  </si>
  <si>
    <t>Episode II</t>
  </si>
  <si>
    <t>Robert West</t>
  </si>
  <si>
    <t>The Star-Fighters of Murphy Street</t>
  </si>
  <si>
    <t>Winter Blessings</t>
  </si>
  <si>
    <t>God Is with Me Through the Night</t>
  </si>
  <si>
    <t>Your Mess Matters</t>
  </si>
  <si>
    <t>Trusting the God Who Creates From Dust and Redeems by Blood</t>
  </si>
  <si>
    <t>Luke Lezon</t>
  </si>
  <si>
    <t>To Whisper Her Name</t>
  </si>
  <si>
    <t>Marriage After God</t>
  </si>
  <si>
    <t>Chasing Boldly After Godâ€™s Purpose for Your Life Together</t>
  </si>
  <si>
    <t>Aaron Smith-Jennifer Smith</t>
  </si>
  <si>
    <t>Secrets of Sloane House</t>
  </si>
  <si>
    <t>Straight Up</t>
  </si>
  <si>
    <t>Honest, Unfiltered, As-Real-As-I-Can-Put-It Advice for Lifeâ€™s Biggest Challenges</t>
  </si>
  <si>
    <t>Trent Shelton</t>
  </si>
  <si>
    <t>North of Hope</t>
  </si>
  <si>
    <t>A Daughter's Arctic Journey</t>
  </si>
  <si>
    <t>Shannon Polson</t>
  </si>
  <si>
    <t>KJV, Busy Mom's Bible</t>
  </si>
  <si>
    <t>Say Yes to God</t>
  </si>
  <si>
    <t>A Call to Courageous Surrender</t>
  </si>
  <si>
    <t>Grieving the Child I Never Knew</t>
  </si>
  <si>
    <t>A Devotional Companion for Comfort in the Loss of Your Unborn or Newly Born Child</t>
  </si>
  <si>
    <t>The Survivor</t>
  </si>
  <si>
    <t>Crime Scene: Houston</t>
  </si>
  <si>
    <t>For Better or for Best</t>
  </si>
  <si>
    <t>A Valuable Guide to Knowing, Understanding, and Loving Your Husband</t>
  </si>
  <si>
    <t>Permission Granted</t>
  </si>
  <si>
    <t>Be Who You Were Made to Be and Let Go of the Rest</t>
  </si>
  <si>
    <t>Melissa Camara Wilkins</t>
  </si>
  <si>
    <t>NIV, Believe: The Joy of Christmas</t>
  </si>
  <si>
    <t>The Case for Christ Daily Moment of Truth</t>
  </si>
  <si>
    <t>Prayer Through Eyes of Women of the Bible</t>
  </si>
  <si>
    <t>Beyond Corista</t>
  </si>
  <si>
    <t>A Daring Sacrifice</t>
  </si>
  <si>
    <t>Global Soccer Mom</t>
  </si>
  <si>
    <t>Changing the World Is Easier Than You Think</t>
  </si>
  <si>
    <t>Shayne Moore</t>
  </si>
  <si>
    <t>Sketchy Behavior</t>
  </si>
  <si>
    <t xml:space="preserve">YOUNG ADULT FICTION / Law &amp; Crime </t>
  </si>
  <si>
    <t>Erynn Mangum</t>
  </si>
  <si>
    <t>The Baxters Take Four</t>
  </si>
  <si>
    <t>Golf's Sacred Journey, the Sequel</t>
  </si>
  <si>
    <t>7 More Days in Utopia</t>
  </si>
  <si>
    <t>The Farm Stand</t>
  </si>
  <si>
    <t>Snow Melts in Spring</t>
  </si>
  <si>
    <t>Only Love Today</t>
  </si>
  <si>
    <t>Reminders to Breathe More, Stress Less, and Choose Love</t>
  </si>
  <si>
    <t>God Is Just Not Fair</t>
  </si>
  <si>
    <t>Finding Hope When Life Doesnâ€™t Make Sense</t>
  </si>
  <si>
    <t>Jennifer Rothschild</t>
  </si>
  <si>
    <t>The Christian Travelers Guide to Italy</t>
  </si>
  <si>
    <t>TRAVEL / Special Interest / Religious</t>
  </si>
  <si>
    <t>David Bershad-Caroline Mangone</t>
  </si>
  <si>
    <t>Christian Travelers Guide Series</t>
  </si>
  <si>
    <t>Not What You Think</t>
  </si>
  <si>
    <t>Why the Bible Might Be Nothing We Expected Yet Everything We Need</t>
  </si>
  <si>
    <t>Michael McAfee-Lauren Green McAfee</t>
  </si>
  <si>
    <t>Seismic Shifts</t>
  </si>
  <si>
    <t>The Little Changes That Make a Big Difference in Your Life</t>
  </si>
  <si>
    <t>Kevin G. Harney</t>
  </si>
  <si>
    <t>A Horse to Love</t>
  </si>
  <si>
    <t>The Problem of Jesus Study Guide</t>
  </si>
  <si>
    <t>Spotlight</t>
  </si>
  <si>
    <t>Fair Game</t>
  </si>
  <si>
    <t>The Better Mom Devotional</t>
  </si>
  <si>
    <t>Shaping Our Hearts As We Shape Our Homes</t>
  </si>
  <si>
    <t>Ruth Schwenk</t>
  </si>
  <si>
    <t>The Every Amish Season Collection</t>
  </si>
  <si>
    <t>Upon a Spring Breeze, Beneath the Summer Sun, Through the Autumn Air, With Winter's First Frost</t>
  </si>
  <si>
    <t>An Every Amish Season Novel</t>
  </si>
  <si>
    <t>The If I Run Series</t>
  </si>
  <si>
    <t>If I Run, If I'm Found, If I Live</t>
  </si>
  <si>
    <t>When Bad Things Happen to Good Marriages</t>
  </si>
  <si>
    <t>How to Stay Together When Life Pulls You Apart</t>
  </si>
  <si>
    <t>Peace in the Valley</t>
  </si>
  <si>
    <t>Amish of Big Sky Country</t>
  </si>
  <si>
    <t>Christmas Wishes for You Greeting Book</t>
  </si>
  <si>
    <t>The Road to Love and Laughter</t>
  </si>
  <si>
    <t>Navigating the Twists and Turns of Life Together</t>
  </si>
  <si>
    <t>Kristin Adams-Danny Adams</t>
  </si>
  <si>
    <t>Daily Guideposts 2018</t>
  </si>
  <si>
    <t>Heroes of the Holy Life</t>
  </si>
  <si>
    <t>Biographies of Fully Devoted Followers of Christ</t>
  </si>
  <si>
    <t>Grandma, I Need Your Prayers</t>
  </si>
  <si>
    <t>Blessing Your Grandchildren Through the Power of Prayer</t>
  </si>
  <si>
    <t>Quin M. Sherrer-Ruthanne Garlock</t>
  </si>
  <si>
    <t>Time Peace</t>
  </si>
  <si>
    <t>Ellen Santilli Vaughn</t>
  </si>
  <si>
    <t>The Read-Aloud Family</t>
  </si>
  <si>
    <t>Making Meaningful and Lasting Connections with Your Kids</t>
  </si>
  <si>
    <t>Sarah Mackenzie</t>
  </si>
  <si>
    <t>Loving</t>
  </si>
  <si>
    <t>Brave Love</t>
  </si>
  <si>
    <t>Making Space for You to Be You</t>
  </si>
  <si>
    <t>Duh-Votions</t>
  </si>
  <si>
    <t>Words of Wisdom for the Spiritually Challenged</t>
  </si>
  <si>
    <t>Sue Buchanan</t>
  </si>
  <si>
    <t>Boundaries with Kids</t>
  </si>
  <si>
    <t>How Healthy Choices Grow Healthy Children</t>
  </si>
  <si>
    <t>NIV, Believe: The Hope of Easter</t>
  </si>
  <si>
    <t>Saving the Saved</t>
  </si>
  <si>
    <t>How Jesus Saves Us From Try-Harder Christianity Into Performance-Free Love</t>
  </si>
  <si>
    <t>Amber Morn</t>
  </si>
  <si>
    <t>Star Struck</t>
  </si>
  <si>
    <t>Seeing the Creator in the Wonders of Our Cosmos</t>
  </si>
  <si>
    <t>David Hart Bradstreet-Steve Rabey</t>
  </si>
  <si>
    <t>The Wisdom of Each Other</t>
  </si>
  <si>
    <t>A Conversation Between Spiritual Friends</t>
  </si>
  <si>
    <t>Eugene H. Peterson</t>
  </si>
  <si>
    <t>A Picture of Love</t>
  </si>
  <si>
    <t>The Enneagram of Belonging Workbook</t>
  </si>
  <si>
    <t>Mapping Your Unique Path to Self-Acceptance</t>
  </si>
  <si>
    <t>Life to the Extreme</t>
  </si>
  <si>
    <t>How a Chaotic Kid Became Americaâ€™s Favorite Carpenter</t>
  </si>
  <si>
    <t>Ty Pennington-Travis Thrasher</t>
  </si>
  <si>
    <t>Nobody's Child</t>
  </si>
  <si>
    <t>Austin Boyd</t>
  </si>
  <si>
    <t>The Pandora Files</t>
  </si>
  <si>
    <t>Jesus Is for Liars</t>
  </si>
  <si>
    <t>A Hypocrite's Guide to Authenticity</t>
  </si>
  <si>
    <t>Love Beyond Reason</t>
  </si>
  <si>
    <t>Finding Your Voice</t>
  </si>
  <si>
    <t>What Every Woman Needs to Live Her God-Given Passions Out Loud</t>
  </si>
  <si>
    <t>A Certain Risk</t>
  </si>
  <si>
    <t>Living Your Faith at the Edge</t>
  </si>
  <si>
    <t>Paul Andrew Richardson</t>
  </si>
  <si>
    <t>An Amish Winter</t>
  </si>
  <si>
    <t>Home Sweet Home, A Christmas Visitor, When Winter Comes</t>
  </si>
  <si>
    <t>Amy Clipston-Kelly Irvin-Barbara Cameron</t>
  </si>
  <si>
    <t>Miracle in the Mine</t>
  </si>
  <si>
    <t>One Man's Story of Strength and Survival in the Chilean Mines</t>
  </si>
  <si>
    <t>JosÃ© Henriquez</t>
  </si>
  <si>
    <t>More Power to You</t>
  </si>
  <si>
    <t>Declarations to Break Free From Fear and Take Back Your Life</t>
  </si>
  <si>
    <t>Breakthrough Prayer</t>
  </si>
  <si>
    <t>The Secret of Receiving What You Need From God</t>
  </si>
  <si>
    <t>Jim Cymbala</t>
  </si>
  <si>
    <t>A Hopeful Heart</t>
  </si>
  <si>
    <t>Jesus, I Need You</t>
  </si>
  <si>
    <t>Devotions From My Heart to His</t>
  </si>
  <si>
    <t>Meet the Bible</t>
  </si>
  <si>
    <t>A Panorama of God's Word in 366 Daily Readings and Reflections</t>
  </si>
  <si>
    <t>Mornings with Jesus 2021</t>
  </si>
  <si>
    <t>But God</t>
  </si>
  <si>
    <t>Changes Everything</t>
  </si>
  <si>
    <t>Herbert Cooper</t>
  </si>
  <si>
    <t>Catwalk</t>
  </si>
  <si>
    <t>There's a Spaceship in My Tree!</t>
  </si>
  <si>
    <t>Episode I</t>
  </si>
  <si>
    <t>Sticky Faith</t>
  </si>
  <si>
    <t>Everyday Ideas to Build Lasting Faith in Your Kids</t>
  </si>
  <si>
    <t>BV4531.3 .P67 2011eb</t>
  </si>
  <si>
    <t>Child rearing--Religious aspects--Christianity.,Christian education--Home training.,Christian teenagers--Religious life.,Parent and teenager--Religious aspects--Christianity.,Parenting--Religious aspects--Christianity.</t>
  </si>
  <si>
    <t>Kara Powell-Chap Clark</t>
  </si>
  <si>
    <t>Staying Stylish</t>
  </si>
  <si>
    <t>Cultivating a Confident Look, Style, and Attitude</t>
  </si>
  <si>
    <t>SELF-HELP / Fashion &amp; Style</t>
  </si>
  <si>
    <t>I Just Want You to Know</t>
  </si>
  <si>
    <t>Letters to My Kids on Love, Faith, and Family</t>
  </si>
  <si>
    <t>Kate Gosselin</t>
  </si>
  <si>
    <t>Sacred Roots (Frames Series)</t>
  </si>
  <si>
    <t>Why the Church Still Matters</t>
  </si>
  <si>
    <t>Barna Group-Jon Tyson</t>
  </si>
  <si>
    <t>Your Words Can Change the World</t>
  </si>
  <si>
    <t>Daily Guideposts 2020</t>
  </si>
  <si>
    <t>Ethnic Blends</t>
  </si>
  <si>
    <t>Mixing Diversity Into Your Local Church</t>
  </si>
  <si>
    <t>Mark DeYmaz-Harry Li</t>
  </si>
  <si>
    <t>Leadership Network Innovation Series</t>
  </si>
  <si>
    <t>The Seasons Collection</t>
  </si>
  <si>
    <t>Seasons Under Heaven, Showers in Season, Times and Seasons, Season of Blessing</t>
  </si>
  <si>
    <t>Terri Blackstock-Beverly LaHaye</t>
  </si>
  <si>
    <t>Raising Great Kids</t>
  </si>
  <si>
    <t>A Comprehensive Guide to Parenting with Grace and Truth</t>
  </si>
  <si>
    <t>Predator</t>
  </si>
  <si>
    <t>Intervention</t>
  </si>
  <si>
    <t>His Victorious Indwelling</t>
  </si>
  <si>
    <t>Daily Devotions for a Deeper Christian Life</t>
  </si>
  <si>
    <t>The Rescue</t>
  </si>
  <si>
    <t>Seven People, Seven Amazing Storiesâ€¦</t>
  </si>
  <si>
    <t>Jim Cymbala-Ann Spangler</t>
  </si>
  <si>
    <t>Pure Pleasure</t>
  </si>
  <si>
    <t>Why Do Christians Feel So Bad About Feeling Good?</t>
  </si>
  <si>
    <t>The Church Builder Collection</t>
  </si>
  <si>
    <t>The Church Builder and Wilderness Rising</t>
  </si>
  <si>
    <t>A Place at Our Table</t>
  </si>
  <si>
    <t>A Brush with Love</t>
  </si>
  <si>
    <t>A January Wedding Story</t>
  </si>
  <si>
    <t>Breaking Free From Body Shame</t>
  </si>
  <si>
    <t>Dare to Reclaim What God Has Named Good</t>
  </si>
  <si>
    <t>BF697.5.B63</t>
  </si>
  <si>
    <t>Body image in women--Religious aspects.,Self-perception--Religious aspects--Christianity.</t>
  </si>
  <si>
    <t>Wounded Healer</t>
  </si>
  <si>
    <t>Game Plan for Life CHALK TALKS</t>
  </si>
  <si>
    <t>Joe Gibbs</t>
  </si>
  <si>
    <t>Vertical Marriage</t>
  </si>
  <si>
    <t>The One Secret That Will Change Your Marriage</t>
  </si>
  <si>
    <t>The Midwife's Dream</t>
  </si>
  <si>
    <t>When Parenting Isn't Perfect</t>
  </si>
  <si>
    <t>Jim Daly-Paul Asay</t>
  </si>
  <si>
    <t>The New Rules for Love, Sex, and Dating</t>
  </si>
  <si>
    <t>The Hurting Parent</t>
  </si>
  <si>
    <t>Help for Parents of Prodigal Sons and Daughters</t>
  </si>
  <si>
    <t>Gregg Lewis</t>
  </si>
  <si>
    <t>The Latin Hit Maker</t>
  </si>
  <si>
    <t>My Journey From Cuban Refugee to World-Renowned Record Producer and Songwriter</t>
  </si>
  <si>
    <t>Rudy PÃ©rez-Robert Noland</t>
  </si>
  <si>
    <t>You Matter More Than You Think</t>
  </si>
  <si>
    <t>What a Woman Needs to Know About the Difference She Makes</t>
  </si>
  <si>
    <t>BV4844</t>
  </si>
  <si>
    <t>She Who Laughs, Lasts!</t>
  </si>
  <si>
    <t>Laugh-Out-Loud Stories From Today's Best-Known Women of Faith</t>
  </si>
  <si>
    <t>God Has a Name</t>
  </si>
  <si>
    <t>The Cape Refuge Collection</t>
  </si>
  <si>
    <t>Cape Refuge, Southern Storm, River's Edge, Breaker's Reef</t>
  </si>
  <si>
    <t>Less Than Perfect</t>
  </si>
  <si>
    <t>Broken Men and Women of the Bible and What We Can Learn From Them</t>
  </si>
  <si>
    <t>Rhythms of Grace</t>
  </si>
  <si>
    <t>Discovering Godâ€™s Tempo for Your Life</t>
  </si>
  <si>
    <t>Kerri Weems</t>
  </si>
  <si>
    <t>A Seat by the Hearth</t>
  </si>
  <si>
    <t>A Generous Life</t>
  </si>
  <si>
    <t>10 Steps to Living a Life Money Can't Buy</t>
  </si>
  <si>
    <t>David Green-Bill High</t>
  </si>
  <si>
    <t>Growing with Purpose</t>
  </si>
  <si>
    <t>Connecting with God Every Day</t>
  </si>
  <si>
    <t>Jon Walker</t>
  </si>
  <si>
    <t>When Did I Stop Being Barbie and Become Mrs. Potato Head?</t>
  </si>
  <si>
    <t>Learning to Embrace the Woman You've Become</t>
  </si>
  <si>
    <t>Man Enough</t>
  </si>
  <si>
    <t>How Jesus Redefines Manhood</t>
  </si>
  <si>
    <t>Nate Pyle</t>
  </si>
  <si>
    <t>When You Need a Miracle</t>
  </si>
  <si>
    <t>Daily Readings</t>
  </si>
  <si>
    <t>KJV, Our Heritage and Faith Holy Bible for African-American Teens</t>
  </si>
  <si>
    <t>Jesus Asked.</t>
  </si>
  <si>
    <t>What He Wanted to Know</t>
  </si>
  <si>
    <t>Conrad Gempf</t>
  </si>
  <si>
    <t>A Slow Burn</t>
  </si>
  <si>
    <t>The Seven Brides for Seven Bachelors Collection</t>
  </si>
  <si>
    <t>The Memory Jar, The Promise Box, The Kissing Bridge</t>
  </si>
  <si>
    <t>The Writing Desk</t>
  </si>
  <si>
    <t>The Courtship Basket</t>
  </si>
  <si>
    <t>A Perfect Square</t>
  </si>
  <si>
    <t>The Lucky Few</t>
  </si>
  <si>
    <t>Finding God's Best in the Most Unlikely Places</t>
  </si>
  <si>
    <t>Heaven Is a Place on Earth</t>
  </si>
  <si>
    <t>Why Everything You Do Matters to God</t>
  </si>
  <si>
    <t>Michael E. Wittmer</t>
  </si>
  <si>
    <t>Bullies and Saints</t>
  </si>
  <si>
    <t>An Honest Look at the Good and Evil of Christian History</t>
  </si>
  <si>
    <t>RELIGION / Christianity / Saints &amp; Sainthood</t>
  </si>
  <si>
    <t>BR148</t>
  </si>
  <si>
    <t>Church history.,Good and evil--History.,Religion.</t>
  </si>
  <si>
    <t>The Faith of Queen Elizabeth</t>
  </si>
  <si>
    <t>The Poise, Grace, and Quiet Strength Behind the Crown</t>
  </si>
  <si>
    <t>BIOGRAPHY &amp; AUTOBIOGRAPHY / Royalty</t>
  </si>
  <si>
    <t>Telling a Better Story</t>
  </si>
  <si>
    <t>How to Talk About God in a Skeptical Age</t>
  </si>
  <si>
    <t>BT1103 .C43 2020eb</t>
  </si>
  <si>
    <t>Apologetics.,Religion.,Witness bearing (Christianity)</t>
  </si>
  <si>
    <t>Josh Chatraw</t>
  </si>
  <si>
    <t>Your Blue Flame</t>
  </si>
  <si>
    <t>Drop the Guilt and Do What Makes You Come Alive</t>
  </si>
  <si>
    <t>Jennifer Fulwiler</t>
  </si>
  <si>
    <t>On the Runway Series</t>
  </si>
  <si>
    <t>A Fashion Collection</t>
  </si>
  <si>
    <t>Princess Ever After</t>
  </si>
  <si>
    <t>Roadkill on the Highway to Heaven</t>
  </si>
  <si>
    <t>Chonda Pierce</t>
  </si>
  <si>
    <t>Love Arrives in Pieces</t>
  </si>
  <si>
    <t>Enjoy the Silence</t>
  </si>
  <si>
    <t>A 30-Day Experiment in Listening to God</t>
  </si>
  <si>
    <t>Maggie Robbins-Duffy Robbins</t>
  </si>
  <si>
    <t>Trace the Themes</t>
  </si>
  <si>
    <t>A Topical Bible Study Guide Through Six Major Themes</t>
  </si>
  <si>
    <t>BS600.3</t>
  </si>
  <si>
    <t>Spence Shelton</t>
  </si>
  <si>
    <t>Children of Divorce</t>
  </si>
  <si>
    <t>Helping Kids When Their Parents Are Apart</t>
  </si>
  <si>
    <t>Debbie Barr</t>
  </si>
  <si>
    <t>Birds of Pray</t>
  </si>
  <si>
    <t>The Story of the Philadelphia Eaglesâ€™ Faith, Brotherhood, and Super Bowl Victory</t>
  </si>
  <si>
    <t>Rob Maaddi</t>
  </si>
  <si>
    <t>The Beautiful Word for Christmas</t>
  </si>
  <si>
    <t>The Amish Heirloom Collection</t>
  </si>
  <si>
    <t>The Forgotten Recipe, The Courtship Basket, The Cherished Quilt, The Beloved Hope Chest</t>
  </si>
  <si>
    <t>Becoming Home (Frames Series)</t>
  </si>
  <si>
    <t>Adoption, Foster Care, and Mentoring--Living Out God's Heart for Orphans</t>
  </si>
  <si>
    <t>Barna Group-Jedd Medefind</t>
  </si>
  <si>
    <t>Interrupted</t>
  </si>
  <si>
    <t>A Life Beyond Words [Delete 'A' - MM]</t>
  </si>
  <si>
    <t>Rachel Coker</t>
  </si>
  <si>
    <t>A Long Bridge Home</t>
  </si>
  <si>
    <t>Script, The</t>
  </si>
  <si>
    <t>Fred D. Lynch III</t>
  </si>
  <si>
    <t>More Than Just Making It</t>
  </si>
  <si>
    <t>Hope for the Heart of the Financially Frustrated</t>
  </si>
  <si>
    <t>This Dangerous Book</t>
  </si>
  <si>
    <t>How the Bible Has Shaped Our World and Why It Still Matters Today</t>
  </si>
  <si>
    <t>Steve Green-Jackie Green-Bill High</t>
  </si>
  <si>
    <t>Giving It All Awayâ€¦and Getting It All Back Again</t>
  </si>
  <si>
    <t>The Way of Living Generously</t>
  </si>
  <si>
    <t>The Russian</t>
  </si>
  <si>
    <t>Three Complete Novels</t>
  </si>
  <si>
    <t>Faith in the Land of Make-Believe</t>
  </si>
  <si>
    <t>What God Can Doâ€¦Even In Hollywood</t>
  </si>
  <si>
    <t>Lee Stanley</t>
  </si>
  <si>
    <t>The Road to Freedom</t>
  </si>
  <si>
    <t>Healing From Your Hurts, Hang-ups, and Habits</t>
  </si>
  <si>
    <t>Johnny Baker</t>
  </si>
  <si>
    <t>Fear Is Not the Boss of You</t>
  </si>
  <si>
    <t>How to Get Out of Your Head and Live the Life You Were Made For</t>
  </si>
  <si>
    <t>Chasing Jupiter</t>
  </si>
  <si>
    <t>Love on a Deadline</t>
  </si>
  <si>
    <t>An August Wedding Story</t>
  </si>
  <si>
    <t>Storming the Black Ice</t>
  </si>
  <si>
    <t>Is This The One?</t>
  </si>
  <si>
    <t>Insightful Dates for Finding the Love of Your Life</t>
  </si>
  <si>
    <t>An Uncommon Protector</t>
  </si>
  <si>
    <t>A July Bride</t>
  </si>
  <si>
    <t>A Royal Christmas Wedding</t>
  </si>
  <si>
    <t>To Win Her Favor</t>
  </si>
  <si>
    <t>Hope in the Dark</t>
  </si>
  <si>
    <t>Believing God Is Good When Life Is Not</t>
  </si>
  <si>
    <t>The Plain Choice</t>
  </si>
  <si>
    <t>A True Story of Choosing to Live an Amish Life</t>
  </si>
  <si>
    <t>FRAMES Season 1: The Complete Collection</t>
  </si>
  <si>
    <t>Exploring Nine Critical Issues of Our Times</t>
  </si>
  <si>
    <t>My Exodus</t>
  </si>
  <si>
    <t>From Fear to Grace</t>
  </si>
  <si>
    <t>Alan Chambers-Leslie Chambers</t>
  </si>
  <si>
    <t>The Infertility Companion</t>
  </si>
  <si>
    <t>Hope and Help for Couples Facing Infertility</t>
  </si>
  <si>
    <t>HEALTH &amp; FITNESS / Fertility &amp; Infertility</t>
  </si>
  <si>
    <t>Sandra L. Glahn-William R. Cutrer</t>
  </si>
  <si>
    <t>Devotions for Ministry Wives</t>
  </si>
  <si>
    <t>Encouragement From Those Who've Been There</t>
  </si>
  <si>
    <t>Zondervan-Barbara Hughes</t>
  </si>
  <si>
    <t>The Color of Rain</t>
  </si>
  <si>
    <t>How Two Families Found Faith, Hope, and Love in the Midst of Tragedy</t>
  </si>
  <si>
    <t>Michael Spehn-Gina Kell Spehn</t>
  </si>
  <si>
    <t>Jonathan Acuff</t>
  </si>
  <si>
    <t>Seven Days in Utopia</t>
  </si>
  <si>
    <t>A Story of Undying Hope</t>
  </si>
  <si>
    <t>Starlighter</t>
  </si>
  <si>
    <t>Heads UP! Updated Edition</t>
  </si>
  <si>
    <t>Sports Devotions for All-Star Kids</t>
  </si>
  <si>
    <t>David Branon</t>
  </si>
  <si>
    <t>Boundaries Updated and Expanded Edition</t>
  </si>
  <si>
    <t>When to Say Yes, How to Say No To Take Control of Your Life</t>
  </si>
  <si>
    <t>BJ1589</t>
  </si>
  <si>
    <t>Christian life.,Conduct of life.,Interpersonal relations--Religious aspects--Christianity.</t>
  </si>
  <si>
    <t>Always Enough, Never Too Much</t>
  </si>
  <si>
    <t>100 Devotions to Quit Comparing, Stop Hiding, and Start Living Wild and Free</t>
  </si>
  <si>
    <t>Silent Cry</t>
  </si>
  <si>
    <t>The True Story of Abuse and Betrayal of an NFL Wife</t>
  </si>
  <si>
    <t>Dorothy J. Newton</t>
  </si>
  <si>
    <t>Lucy's Perfect Summer</t>
  </si>
  <si>
    <t>A Reunion of Hearts</t>
  </si>
  <si>
    <t>An Amish Reunion Story</t>
  </si>
  <si>
    <t>Power in the Promises</t>
  </si>
  <si>
    <t>Praying God's Word to Change Your Life</t>
  </si>
  <si>
    <t>365 Devotions for Living Joyfully</t>
  </si>
  <si>
    <t>Victoria Doulos York</t>
  </si>
  <si>
    <t>Male Vs. Man</t>
  </si>
  <si>
    <t>How to Honor Women, Teach Children, and Elevate Men to Change the World</t>
  </si>
  <si>
    <t>DondrÃ© T. Whitfield</t>
  </si>
  <si>
    <t>The Christ Files</t>
  </si>
  <si>
    <t>How Historians Know What They Know About Jesus</t>
  </si>
  <si>
    <t>The Sticky Faith Guide for Your Family</t>
  </si>
  <si>
    <t>Over 100 Practical and Tested Ideas to Build Lasting Faith in Kids</t>
  </si>
  <si>
    <t>Kara Powell</t>
  </si>
  <si>
    <t>Times and Seasons</t>
  </si>
  <si>
    <t>Soulsalsa</t>
  </si>
  <si>
    <t>17 Surprising Steps for Godly Living in the 21st Century</t>
  </si>
  <si>
    <t>Spiritual life--Baptists.</t>
  </si>
  <si>
    <t>Leonard Sweet</t>
  </si>
  <si>
    <t>Amplified Reading Bible</t>
  </si>
  <si>
    <t>A Paragraph-Style Amplified Bible for a Smoother Reading Experience</t>
  </si>
  <si>
    <t>BIBLES / The Amplified Bible / Reading</t>
  </si>
  <si>
    <t>Honest Prayers From a Trusting Heart</t>
  </si>
  <si>
    <t>Hands Free Life</t>
  </si>
  <si>
    <t>Nine Habits for Overcoming Distraction, Living Better, and Loving More</t>
  </si>
  <si>
    <t>Katy's New World</t>
  </si>
  <si>
    <t>A Ladyâ€™s Honor</t>
  </si>
  <si>
    <t>Room on the Porch Swing</t>
  </si>
  <si>
    <t>Twisted Innocence</t>
  </si>
  <si>
    <t>Frank and Beans and S'More Trouble</t>
  </si>
  <si>
    <t>Upon a Spring Breeze</t>
  </si>
  <si>
    <t>What Is God Really Like? Expanded Edition</t>
  </si>
  <si>
    <t>An Amish Schoolroom</t>
  </si>
  <si>
    <t>Shadow in Serenity</t>
  </si>
  <si>
    <t>My Future</t>
  </si>
  <si>
    <t>Ciao</t>
  </si>
  <si>
    <t>Do Not Lose Heart</t>
  </si>
  <si>
    <t>Meditations of Encouragement and Comfort</t>
  </si>
  <si>
    <t>Dave Dravecky-Jan Dravecky-Steve W. Halliday</t>
  </si>
  <si>
    <t>Parenting the Wholehearted Child</t>
  </si>
  <si>
    <t>Captivating Your Child's Heart with God's Extravagant Grace</t>
  </si>
  <si>
    <t>Jeannie Cunnion</t>
  </si>
  <si>
    <t>The Malacca Conspiracy</t>
  </si>
  <si>
    <t>The Case for Hope</t>
  </si>
  <si>
    <t>Looking Ahead With Confidence and Courage</t>
  </si>
  <si>
    <t>How to Get a Date Worth Keeping</t>
  </si>
  <si>
    <t>Water-Walking</t>
  </si>
  <si>
    <t>Discovering and Obeying Your Call to Radical Discipleship</t>
  </si>
  <si>
    <t>Captivating Grace</t>
  </si>
  <si>
    <t>365 Devotions for the Reformed Thinker</t>
  </si>
  <si>
    <t>The Complete New Testament Resource for Youth Workers, Volume 2</t>
  </si>
  <si>
    <t>Jack Crabtree</t>
  </si>
  <si>
    <t>Preparing for Jesus</t>
  </si>
  <si>
    <t>Meditations on the Coming of Christ, Advent, Christmas, and the Kingdom</t>
  </si>
  <si>
    <t>The Road to Roses</t>
  </si>
  <si>
    <t>Heartbreak, Hope, and Finding Strength When Life Doesn't Go As Planned</t>
  </si>
  <si>
    <t>PERFORMING ARTS / Television / Genres / Reality, Game Shows &amp; Talk Shows</t>
  </si>
  <si>
    <t>Desiree Hartsock Siegfried-Autumn Krause</t>
  </si>
  <si>
    <t>Unseen</t>
  </si>
  <si>
    <t>The Gift of Being Hidden in a World That Loves to Be Noticed</t>
  </si>
  <si>
    <t>Sara Hagerty</t>
  </si>
  <si>
    <t>Springs in the Valley</t>
  </si>
  <si>
    <t>The Gift of Love</t>
  </si>
  <si>
    <t>One Womanâ€™s Journey to Save a Life</t>
  </si>
  <si>
    <t>Amazing Truths</t>
  </si>
  <si>
    <t>How Science and the Bible Agree</t>
  </si>
  <si>
    <t>Michael Guillen</t>
  </si>
  <si>
    <t>Mornings with Jesus 2019</t>
  </si>
  <si>
    <t>Controlling Interest</t>
  </si>
  <si>
    <t>Awake</t>
  </si>
  <si>
    <t>Discover the Power of Your Story</t>
  </si>
  <si>
    <t>Joel Sheldon Clark</t>
  </si>
  <si>
    <t>Wholeness</t>
  </si>
  <si>
    <t>Winning in Life From the Inside Out</t>
  </si>
  <si>
    <t>Faith in Real Life</t>
  </si>
  <si>
    <t>Creating Community in the Park, Coffee Shop, and Living Room</t>
  </si>
  <si>
    <t>Mike Tatlock</t>
  </si>
  <si>
    <t>Magnolia Market</t>
  </si>
  <si>
    <t>Nourished</t>
  </si>
  <si>
    <t>A Search for Health, Happiness, and a Full Nightâ€™s Sleep</t>
  </si>
  <si>
    <t>Becky Johnson-Rachel Randolph</t>
  </si>
  <si>
    <t>The Daniel Plan 365-Day Devotional</t>
  </si>
  <si>
    <t>Daily Encouragement for a Healthier Life</t>
  </si>
  <si>
    <t>The Daniel Plan Team</t>
  </si>
  <si>
    <t>A Chicken's Guide to Talking Turkey with Your Kids About Sex</t>
  </si>
  <si>
    <t>Kevin Leman-Kathy Flores Bell</t>
  </si>
  <si>
    <t>NRSV, The Guidebook</t>
  </si>
  <si>
    <t>The NRSV Student Bible</t>
  </si>
  <si>
    <t>BIBLES / New Revised Standard Version / Youth &amp; Teen</t>
  </si>
  <si>
    <t>New York Debut</t>
  </si>
  <si>
    <t>My Life</t>
  </si>
  <si>
    <t>Based on the Book Gifted Hands</t>
  </si>
  <si>
    <t>10 Minutes in the Word: John</t>
  </si>
  <si>
    <t>Motorcycles, Sushi and One Strange Book</t>
  </si>
  <si>
    <t>Anger Is a Choice</t>
  </si>
  <si>
    <t>Tim LaHaye-Bob Phillips</t>
  </si>
  <si>
    <t>Fresh Power</t>
  </si>
  <si>
    <t>What Happens When God Leads and You Follow</t>
  </si>
  <si>
    <t>The IF in Life</t>
  </si>
  <si>
    <t>How to Get Off Lifeâ€™s Sidelines and Become Your Best Self</t>
  </si>
  <si>
    <t>Parable Church</t>
  </si>
  <si>
    <t>How the Teachings of Jesus Shape the Culture of Our Faith</t>
  </si>
  <si>
    <t>Mike Burnette-John Driver</t>
  </si>
  <si>
    <t>Divine Direction</t>
  </si>
  <si>
    <t>7 Decisions That Will Change Your Life</t>
  </si>
  <si>
    <t>Hope Beyond an Empty Cradle</t>
  </si>
  <si>
    <t>The Journey Toward Healing After Stillbirth, Miscarriage, and Child Loss</t>
  </si>
  <si>
    <t>Hallie Scott</t>
  </si>
  <si>
    <t>Renew</t>
  </si>
  <si>
    <t>A Devotional Magazine for Women</t>
  </si>
  <si>
    <t>Loving Your Parents When They Can No Longer Love You</t>
  </si>
  <si>
    <t>The Chase</t>
  </si>
  <si>
    <t>Whispers in the Reading Room</t>
  </si>
  <si>
    <t>Mended Hearts</t>
  </si>
  <si>
    <t>Making Room for Life</t>
  </si>
  <si>
    <t>Trading Chaotic Lifestyles for Connected Relationships</t>
  </si>
  <si>
    <t>Kiss the Bride</t>
  </si>
  <si>
    <t>Three Summer Love Stories</t>
  </si>
  <si>
    <t>Melissa McClone-Robin Lee Hatcher-Kathryn Springer</t>
  </si>
  <si>
    <t>Amish Midwives</t>
  </si>
  <si>
    <t>Amy Clipston-Shelley Shepard Gray-Kelly Long</t>
  </si>
  <si>
    <t>Cobalt Cover-Up</t>
  </si>
  <si>
    <t>The Inside Story of a Deadly Conspiracy at the Largest Car Manufacturer in the World</t>
  </si>
  <si>
    <t>BIOGRAPHY &amp; AUTOBIOGRAPHY / Lawyers &amp; Judges</t>
  </si>
  <si>
    <t>KF228.M3947</t>
  </si>
  <si>
    <t>Cobalt automobile.,Liability for traffic accidents--United States.,Products liability--Automobiles--United States.,Trials (Products liability)--Un ited States.</t>
  </si>
  <si>
    <t>Lance Cooper-Mark Tabb</t>
  </si>
  <si>
    <t>The Ambition</t>
  </si>
  <si>
    <t>The Amish Journey Novels</t>
  </si>
  <si>
    <t>Hearts in Harmony, Listening to Love, A Beautiful Arrangement</t>
  </si>
  <si>
    <t>Real Relationships Workbook</t>
  </si>
  <si>
    <t>The End Collection</t>
  </si>
  <si>
    <t>Edge of Apocalypse, Thunder of Heaven, Brink of Chaos, Mark of Evil</t>
  </si>
  <si>
    <t>What Happened to My Little Girl?</t>
  </si>
  <si>
    <t>Dad's Ultimate Guide to His Tween Daughter</t>
  </si>
  <si>
    <t>Nancy N. Rue-Jim Rue</t>
  </si>
  <si>
    <t>When Making Others Happy Is Making You Miserable</t>
  </si>
  <si>
    <t>Helping Couples</t>
  </si>
  <si>
    <t>Proven Strategies for Coaches, Counselors, and Clergy</t>
  </si>
  <si>
    <t>Marriage.,Marriage--Handbooks, manuals, etc.,Marriage--United States.</t>
  </si>
  <si>
    <t>Les Parrott-Leslie Parrott-David H. Olson</t>
  </si>
  <si>
    <t>Wisdom On ... Getting Along with Parents</t>
  </si>
  <si>
    <t>Overcomer</t>
  </si>
  <si>
    <t>Breaking Down the Walls of Shame and Rebuilding Your Soul</t>
  </si>
  <si>
    <t>Aubrey Gayel Sampson</t>
  </si>
  <si>
    <t>Hostage in Havana</t>
  </si>
  <si>
    <t>Not a Fan Daily Devotional</t>
  </si>
  <si>
    <t>75 Days to Becoming a Completely Committed Follower of Jesus</t>
  </si>
  <si>
    <t>Reclaimed</t>
  </si>
  <si>
    <t>How Jesus Restores Our Humanity in a Dehumanized World</t>
  </si>
  <si>
    <t>Interpersonal relations--Religious aspects--Christianity.,Mass media in religion--United States.,Religion.,Social interaction.,Theological anthropology.</t>
  </si>
  <si>
    <t>Andy Steiger</t>
  </si>
  <si>
    <t>Where Is God When It Hurts?</t>
  </si>
  <si>
    <t>Suffering--Religious aspects--Christianity.</t>
  </si>
  <si>
    <t>To End All Wars</t>
  </si>
  <si>
    <t>A True Story About the Will to Survive and the Courage to Forgive</t>
  </si>
  <si>
    <t>Ernest Gordon</t>
  </si>
  <si>
    <t>Look Through God-Colored Glasses</t>
  </si>
  <si>
    <t>Have More Fun</t>
  </si>
  <si>
    <t>How to Be Remarkable, Stop Feeling Stuck, and Start Enjoying Life</t>
  </si>
  <si>
    <t>The Royal Wedding Collection</t>
  </si>
  <si>
    <t>Once Upon A Prince, Princess Ever After, How to Catch a Prince</t>
  </si>
  <si>
    <t>Boundaries in Dating</t>
  </si>
  <si>
    <t>How Healthy Choices Grow Healthy Relationships</t>
  </si>
  <si>
    <t>Ready for Anything</t>
  </si>
  <si>
    <t>Preparing Your Heart and Home for Any Crisis Big or Small</t>
  </si>
  <si>
    <t>Kathi Lipp</t>
  </si>
  <si>
    <t>Stories Behind the Hymns That Inspire America</t>
  </si>
  <si>
    <t>Songs That Unite Our Nation</t>
  </si>
  <si>
    <t>Emotionally Healthy Discipleship</t>
  </si>
  <si>
    <t>Moving From Shallow Christianity to Deep Transformation</t>
  </si>
  <si>
    <t>BV4511</t>
  </si>
  <si>
    <t>Discipling (Christianity),Spiritual formation.</t>
  </si>
  <si>
    <t>Beyond Brave</t>
  </si>
  <si>
    <t>60 Days of Journaling Devotions for Young Women</t>
  </si>
  <si>
    <t>A Dream of Home</t>
  </si>
  <si>
    <t>A Woman's Guide to Overcoming Adversity and Living with Confidence</t>
  </si>
  <si>
    <t>Body and Soul</t>
  </si>
  <si>
    <t>A Girl's Guide to a Fit, Fun and Fabulous Life</t>
  </si>
  <si>
    <t>JUVENILE NONFICTION / Health &amp; Daily Living / Fitness &amp; Exercise</t>
  </si>
  <si>
    <t>Bethany Hamilton-Dustin Dillberg</t>
  </si>
  <si>
    <t>The Beloved Hope Chest</t>
  </si>
  <si>
    <t>The Baxters Take Two</t>
  </si>
  <si>
    <t>10 Minutes in the Word: Proverbs</t>
  </si>
  <si>
    <t>Picnics and Prospects</t>
  </si>
  <si>
    <t>An Amish Picnic Story</t>
  </si>
  <si>
    <t>Will Jesus Buy Me a Double-Wide?</t>
  </si>
  <si>
    <t>('Cause I Need More Room for My Plasma TV)</t>
  </si>
  <si>
    <t>Patterns of Love</t>
  </si>
  <si>
    <t>The Mother and Child Project</t>
  </si>
  <si>
    <t>Raising Our Voices for Health and Hope</t>
  </si>
  <si>
    <t>Zondervan-Hope Through Healing Hands</t>
  </si>
  <si>
    <t>Detained</t>
  </si>
  <si>
    <t>The Navy JAG Series</t>
  </si>
  <si>
    <t>Moment Maker</t>
  </si>
  <si>
    <t>You Can Live Your Life or It Will Live You</t>
  </si>
  <si>
    <t>Hustling God</t>
  </si>
  <si>
    <t>Why We Work So Hard for What God Wants to Give</t>
  </si>
  <si>
    <t>Green Mama</t>
  </si>
  <si>
    <t>The Guilt-Free Guide to Helping You and Your Kids Save the Planet</t>
  </si>
  <si>
    <t>Tracey Bianchi</t>
  </si>
  <si>
    <t>That's Why I'm Here</t>
  </si>
  <si>
    <t>The Chris and Stefanie Spielman Story</t>
  </si>
  <si>
    <t>Chris Spielman-Bruce Hooley</t>
  </si>
  <si>
    <t>How to Make Big Decisions Wisely</t>
  </si>
  <si>
    <t>A Biblical and Scientific Guide to Healthier Habits, Less Stress, A Better Career, and Much More</t>
  </si>
  <si>
    <t>BL629.5.D43</t>
  </si>
  <si>
    <t>Decision making--Religious aspects--Christianity.</t>
  </si>
  <si>
    <t>Alan Ehler</t>
  </si>
  <si>
    <t>Prelude for a Lord</t>
  </si>
  <si>
    <t>FICTION / Romance / Historical / Regency</t>
  </si>
  <si>
    <t>Camille Elliot</t>
  </si>
  <si>
    <t>The Sacred Enneagram</t>
  </si>
  <si>
    <t>Finding Your Unique Path to Spiritual Growth</t>
  </si>
  <si>
    <t>BF698.35.E54</t>
  </si>
  <si>
    <t>Enneagram.,Spiritual life.</t>
  </si>
  <si>
    <t>Christopher L. Heuertz</t>
  </si>
  <si>
    <t>Spring Is in the Air</t>
  </si>
  <si>
    <t>3 Seconds</t>
  </si>
  <si>
    <t>The Power of Thinking Twice</t>
  </si>
  <si>
    <t>Faith and Culture</t>
  </si>
  <si>
    <t>A Guide to a Culture Shaped by Faith</t>
  </si>
  <si>
    <t>He Speaks in the Silence</t>
  </si>
  <si>
    <t>Finding Intimacy with God by Learning to Listen</t>
  </si>
  <si>
    <t>Diane Comer</t>
  </si>
  <si>
    <t>A 60-Day Journey to Knowing Who You Are Because of Who He Is</t>
  </si>
  <si>
    <t>Michele Cushatt</t>
  </si>
  <si>
    <t>Roadside Assistance</t>
  </si>
  <si>
    <t>Restoration House</t>
  </si>
  <si>
    <t>Creating a Space That Gives Life and Connection to All Who Enter</t>
  </si>
  <si>
    <t>HOUSE &amp; HOME / Decorating &amp; Furnishings</t>
  </si>
  <si>
    <t>Kennesha Buycks</t>
  </si>
  <si>
    <t>The Case for Christ Answer Booklet</t>
  </si>
  <si>
    <t>Answer Book Series</t>
  </si>
  <si>
    <t>The Defining Verse</t>
  </si>
  <si>
    <t>Find Your Lifeâ€™s Sentence Through the Lives of 63 Bible Characters</t>
  </si>
  <si>
    <t>Warren W. Wiersbe</t>
  </si>
  <si>
    <t>High School Talksheets</t>
  </si>
  <si>
    <t>Reeling in Love</t>
  </si>
  <si>
    <t>The Cliffs of Cornwall Novels</t>
  </si>
  <si>
    <t>A Lady's Honor and A Stranger's Secret</t>
  </si>
  <si>
    <t>Beyond Halftime</t>
  </si>
  <si>
    <t>Practical Wisdom for Your Second Half</t>
  </si>
  <si>
    <t>Theodora's Baby</t>
  </si>
  <si>
    <t>Candlelight Sweethearts</t>
  </si>
  <si>
    <t>How to Talk About Jesus (Without Being That Guy)</t>
  </si>
  <si>
    <t>Personal Evangelism in a Skeptical World</t>
  </si>
  <si>
    <t>BV3790</t>
  </si>
  <si>
    <t>Sam Chan</t>
  </si>
  <si>
    <t>The Well</t>
  </si>
  <si>
    <t>Why Are So Many Still Thirsty?</t>
  </si>
  <si>
    <t>The Mother and Child Project Discussion Guide</t>
  </si>
  <si>
    <t>Spring Breakdown</t>
  </si>
  <si>
    <t xml:space="preserve">YOUNG ADULT FICTION / Social Themes / Friendship </t>
  </si>
  <si>
    <t>Edge of Apocalypse</t>
  </si>
  <si>
    <t>What Women Tell Me</t>
  </si>
  <si>
    <t>Finding Freedom From the Secrets We Keep</t>
  </si>
  <si>
    <t>Anita Lustrea</t>
  </si>
  <si>
    <t>Your Own Jesus</t>
  </si>
  <si>
    <t>A God Insistent on Making It Personal</t>
  </si>
  <si>
    <t>A Season to Wed</t>
  </si>
  <si>
    <t>Three Winter Love Stories</t>
  </si>
  <si>
    <t>The Hearts We Mend</t>
  </si>
  <si>
    <t>The Kauffman Amish Bakery Collection</t>
  </si>
  <si>
    <t>A Gift of Grace, A Promise of Hope, A Place of Peace, A Life of Joy, A Season of Love</t>
  </si>
  <si>
    <t>Simple Gifts</t>
  </si>
  <si>
    <t>Let's All Be Brave</t>
  </si>
  <si>
    <t>Living Life with Everything You Have</t>
  </si>
  <si>
    <t>Light and Death</t>
  </si>
  <si>
    <t>One Doctor's Fascinating Account of Near-Death Experiences</t>
  </si>
  <si>
    <t>Michael Sabom</t>
  </si>
  <si>
    <t>Flight of the Outcasts</t>
  </si>
  <si>
    <t>Single Sashimi</t>
  </si>
  <si>
    <t>Jesus - Safe, Tender, Extreme</t>
  </si>
  <si>
    <t>Cozy Minimalist Home</t>
  </si>
  <si>
    <t>More Style, Less Stuff</t>
  </si>
  <si>
    <t>Myquillyn Smith</t>
  </si>
  <si>
    <t>Cookies and Cheer</t>
  </si>
  <si>
    <t>Finding the Will of God in a Crazy, Mixed-Up World</t>
  </si>
  <si>
    <t>God's Words of Life for Women of Color</t>
  </si>
  <si>
    <t>Bittersweet</t>
  </si>
  <si>
    <t>Thoughts on Change, Grace, and Learning the Hard Way</t>
  </si>
  <si>
    <t>Moments with the Savior</t>
  </si>
  <si>
    <t>Experience Jesus, the Kindness in His Face, the Forgiveness in His Eyes, and the Power in His Hand.</t>
  </si>
  <si>
    <t>Ken Gire</t>
  </si>
  <si>
    <t>Moments with the Savior Series</t>
  </si>
  <si>
    <t>Signs of Hope</t>
  </si>
  <si>
    <t>How Small Acts of Love Can Change Your World</t>
  </si>
  <si>
    <t>Amy Wolff</t>
  </si>
  <si>
    <t>The Act of Marriage After 40</t>
  </si>
  <si>
    <t>Making Love for Life</t>
  </si>
  <si>
    <t>Tim LaHaye-Beverly LaHaye-Mike Yorkey</t>
  </si>
  <si>
    <t>The Art of Being You</t>
  </si>
  <si>
    <t>How to Live As God's Masterpiece</t>
  </si>
  <si>
    <t>Bob Kilpatrick-Joel Kilpatrick</t>
  </si>
  <si>
    <t>The Dark Side of the Supernatural, Revised and Expanded Edition</t>
  </si>
  <si>
    <t>What Is of God and What Isn't</t>
  </si>
  <si>
    <t>The Losers Club</t>
  </si>
  <si>
    <t>Jeff Kinley</t>
  </si>
  <si>
    <t>How to Follow Jesus</t>
  </si>
  <si>
    <t>A Practical Guide for Growing Your Faith</t>
  </si>
  <si>
    <t>Simple Joys</t>
  </si>
  <si>
    <t>Discovering Wonder in the Everyday</t>
  </si>
  <si>
    <t>Eat the Cookie</t>
  </si>
  <si>
    <t>The Imperfectionistâ€™s Guide to Food, Faith, and Fitness</t>
  </si>
  <si>
    <t>Taylor Kiser</t>
  </si>
  <si>
    <t>Tables in the Wilderness</t>
  </si>
  <si>
    <t>A Memoir of God Found, Lost, and Found Again</t>
  </si>
  <si>
    <t>Gallant Bride</t>
  </si>
  <si>
    <t>Book 6</t>
  </si>
  <si>
    <t>Stuck in Halftime</t>
  </si>
  <si>
    <t>Reinvesting Your One and Only Life</t>
  </si>
  <si>
    <t>The Tuesday Morning Collection</t>
  </si>
  <si>
    <t>One Tuesday Morning, Beyond Tuesday Morning, Remember Tuesday Morning</t>
  </si>
  <si>
    <t>When Jesus Wept, Take This Cup, Behold the Man</t>
  </si>
  <si>
    <t>The Good Dad</t>
  </si>
  <si>
    <t>Becoming the Father You Were Meant to Be</t>
  </si>
  <si>
    <t>Jim Daly</t>
  </si>
  <si>
    <t>Daily Power</t>
  </si>
  <si>
    <t>365 Days of Fuel for Your Soul</t>
  </si>
  <si>
    <t>The Lost Love Collection</t>
  </si>
  <si>
    <t>Even Now and Ever After</t>
  </si>
  <si>
    <t>A Better Life</t>
  </si>
  <si>
    <t>Slowing Down to Get Ahead</t>
  </si>
  <si>
    <t>Rebecca Smith</t>
  </si>
  <si>
    <t>People Fuel</t>
  </si>
  <si>
    <t>Fill Your Tank for Life, Love, and Leadership</t>
  </si>
  <si>
    <t>Ablaze for God</t>
  </si>
  <si>
    <t>Leading From Your Gut</t>
  </si>
  <si>
    <t>How You Can Succeed by Harnessing the Power of Your Values, Feelings, and Intuition</t>
  </si>
  <si>
    <t>The Alternative</t>
  </si>
  <si>
    <t>Awaken Your Dream, Unite Your Community, and Live in Hope</t>
  </si>
  <si>
    <t>Caleb Stanley-Austin Dennis</t>
  </si>
  <si>
    <t>NKJV, Cultural Backgrounds Study Bible</t>
  </si>
  <si>
    <t>BIBLES / New King James Version / Study</t>
  </si>
  <si>
    <t>10 Great Dates to Energize Your Marriage</t>
  </si>
  <si>
    <t>Updated and Expanded Edition</t>
  </si>
  <si>
    <t>Keeping Company with God</t>
  </si>
  <si>
    <t>A Prayer Journal</t>
  </si>
  <si>
    <t>We Laugh, We Cry, We Cook</t>
  </si>
  <si>
    <t>A Mom and Daughter Dish About the Food That Delights Them and the Love That Binds Them</t>
  </si>
  <si>
    <t>COOKING / Essays &amp; Narratives</t>
  </si>
  <si>
    <t>Summoned to Lead</t>
  </si>
  <si>
    <t>Cody's Varsity Rush</t>
  </si>
  <si>
    <t>The Enneagram of Belonging</t>
  </si>
  <si>
    <t>A Compassionate Journey of Self-Acceptance</t>
  </si>
  <si>
    <t>The Bailey Flanigan Collection</t>
  </si>
  <si>
    <t>Leaving, Learning, Longing, Loving</t>
  </si>
  <si>
    <t>It's All About the Small Things</t>
  </si>
  <si>
    <t>Why the Ordinary Moments Matter</t>
  </si>
  <si>
    <t>A Year of Weddings</t>
  </si>
  <si>
    <t>Twelve Love Stories</t>
  </si>
  <si>
    <t>Denise Hunter-Deborah Raney-Betsy St. Amant-Rachel Hauck-Lenora Worth-Meg Moseley-Marybeth Whalen-Beth Wiseman-Debra Clopton-Kathryn Springer-Katie Ganshert-Beth K. Vogt</t>
  </si>
  <si>
    <t>Perfectly Unfinished</t>
  </si>
  <si>
    <t>Finding Beauty in the Midst of Brokenness</t>
  </si>
  <si>
    <t>Andrea Logan White-Cindy Lambert</t>
  </si>
  <si>
    <t>You Don't Get Your Own Personal Jesus</t>
  </si>
  <si>
    <t>The Entitlement Cure</t>
  </si>
  <si>
    <t>Finding Success at Work and in Relationships in a Shortcut World</t>
  </si>
  <si>
    <t>Heart of Glass</t>
  </si>
  <si>
    <t>GrATTITUDE</t>
  </si>
  <si>
    <t>Practicing Contagious Optimism for Positive Change</t>
  </si>
  <si>
    <t>The Pattern</t>
  </si>
  <si>
    <t>An Unlikely Match</t>
  </si>
  <si>
    <t>Could I Have This Dance?</t>
  </si>
  <si>
    <t>Say Yes to No Debt</t>
  </si>
  <si>
    <t>12 Steps to Financial Freedom</t>
  </si>
  <si>
    <t>Consumer credit.,Finance, Personal--Religious aspects--Christianity.</t>
  </si>
  <si>
    <t>DeForest B Soaries, Jr.</t>
  </si>
  <si>
    <t>Shades of Blue</t>
  </si>
  <si>
    <t>Honey for a Teen's Heart</t>
  </si>
  <si>
    <t>Using Books to Communicate with Teens</t>
  </si>
  <si>
    <t>Gladys Hunt-Barbara Hampton</t>
  </si>
  <si>
    <t>Rush of Heaven</t>
  </si>
  <si>
    <t>One Womanâ€™s Miraculous Encounter with Jesus</t>
  </si>
  <si>
    <t>Ema McKinley-Cheryl Ricker</t>
  </si>
  <si>
    <t>Daily Readings with Philip Yancey</t>
  </si>
  <si>
    <t>The Banister Falls Collection</t>
  </si>
  <si>
    <t>The Dandelion Field and The Hearts We Mend</t>
  </si>
  <si>
    <t>Finding the Peace God Promises</t>
  </si>
  <si>
    <t>Adore</t>
  </si>
  <si>
    <t>A Simple Practice for Experiencing God in the Middle Minutes of Your Day</t>
  </si>
  <si>
    <t>100 Quiet Moments for Moms to Meet with Jesus</t>
  </si>
  <si>
    <t>The Seven Money Types</t>
  </si>
  <si>
    <t>Discover How God Wired You To Handle Money</t>
  </si>
  <si>
    <t>BUSINESS &amp; ECONOMICS / Personal Finance / General</t>
  </si>
  <si>
    <t>Tommy Brown</t>
  </si>
  <si>
    <t>Heart of Lies</t>
  </si>
  <si>
    <t>The Sacred Acre</t>
  </si>
  <si>
    <t>The Ed Thomas Story</t>
  </si>
  <si>
    <t>Mark Tabb</t>
  </si>
  <si>
    <t>Dancing with Max</t>
  </si>
  <si>
    <t>A Mother and Son Who Broke Free</t>
  </si>
  <si>
    <t>FAMILY &amp; RELATIONSHIPS / Autism Spectrum Disorders</t>
  </si>
  <si>
    <t>Emily Colson-Charles W. Colson</t>
  </si>
  <si>
    <t>Women Who Do Too Much</t>
  </si>
  <si>
    <t>How to Stop Doing It All and Start Enjoying Your Life</t>
  </si>
  <si>
    <t>The Unexpected Journey</t>
  </si>
  <si>
    <t>Conversations with People Who Turned From Other Beliefs to Jesus</t>
  </si>
  <si>
    <t>BV4930</t>
  </si>
  <si>
    <t>Christian converts--United States--Interviews.</t>
  </si>
  <si>
    <t>Thom S. Rainer</t>
  </si>
  <si>
    <t>Ulterior Motives</t>
  </si>
  <si>
    <t>Running on Red Dog Road</t>
  </si>
  <si>
    <t>And Other Perils of an Appalachian Childhood</t>
  </si>
  <si>
    <t>Drema Hall Berkheimer</t>
  </si>
  <si>
    <t>100 Days to Brave</t>
  </si>
  <si>
    <t>Devotions for Unlocking Your Most Courageous Self</t>
  </si>
  <si>
    <t>The Amish of Big Sky Country Novels</t>
  </si>
  <si>
    <t>Mountains of Grace, A Long Bridge Home, Peace in the Valley</t>
  </si>
  <si>
    <t>Frank and Beans and the Grouchy Neighbor</t>
  </si>
  <si>
    <t>What Love Built</t>
  </si>
  <si>
    <t>For the Body</t>
  </si>
  <si>
    <t>Recovering a Theology of Gender, Sexuality, and the Human Body</t>
  </si>
  <si>
    <t>BT741.3 .T46 2020eb</t>
  </si>
  <si>
    <t>Gender identity--Religious aspects--Christianity.,Gender identity--Theology.,Human body--Religious aspects--Christianity.,Human body--Theology.,Sex--Religious aspects--Christianity.,Theological anthropology--Christianity.</t>
  </si>
  <si>
    <t>Timothy C. Tennent</t>
  </si>
  <si>
    <t>Footprints for Women</t>
  </si>
  <si>
    <t>Margaret Fishback Powers</t>
  </si>
  <si>
    <t>Midnight in Madrid</t>
  </si>
  <si>
    <t>A Chance to Remember</t>
  </si>
  <si>
    <t>The Church God Blesses</t>
  </si>
  <si>
    <t>RELIGION / Christian Church / General</t>
  </si>
  <si>
    <t>The Beautiful Fight</t>
  </si>
  <si>
    <t>Surrendering to the Transforming Presence of God Every Day of Your Life</t>
  </si>
  <si>
    <t>Becoming All Things</t>
  </si>
  <si>
    <t>How Small Changes Lead To Lasting Connections Across Cultures</t>
  </si>
  <si>
    <t>Christian life.,Christian literature.,Cultural pluralism--Religious aspects--Christianity.,Cultural relations.,Intercultural communication--Religious aspects--Christianity.,Race relations--Religious aspects--Christianity.,Social justice--Religious aspects--Christianity.</t>
  </si>
  <si>
    <t>Michelle Reyes</t>
  </si>
  <si>
    <t>Streams in the Desert Morning and Evening</t>
  </si>
  <si>
    <t>River's Edge</t>
  </si>
  <si>
    <t>A Walk in Our Cleats</t>
  </si>
  <si>
    <t>25 Athletes Who Never Gave Up</t>
  </si>
  <si>
    <t xml:space="preserve">YOUNG ADULT NONFICTION / Sports &amp; Recreation / Football </t>
  </si>
  <si>
    <t>Steven Johnson Jr.-Paul Cartwright</t>
  </si>
  <si>
    <t>Never Ever Give Up</t>
  </si>
  <si>
    <t>The Inspiring Story of Jessie and Her JoyJars</t>
  </si>
  <si>
    <t>Erik Rees-Jenna Glatzer</t>
  </si>
  <si>
    <t>NKJV, Beautiful Word Bible</t>
  </si>
  <si>
    <t>BIBLES / New King James Version / Text</t>
  </si>
  <si>
    <t>The Memory Jar</t>
  </si>
  <si>
    <t>You Can't Take It with You</t>
  </si>
  <si>
    <t>The Wedding Shop</t>
  </si>
  <si>
    <t>Hope of Nations</t>
  </si>
  <si>
    <t>Standing Strong in a Post-Truth, Post-Christian World</t>
  </si>
  <si>
    <t>Raising Passionate Jesus Followers</t>
  </si>
  <si>
    <t>The Power of Intentional Parenting</t>
  </si>
  <si>
    <t>Phil Comer-Diane Comer</t>
  </si>
  <si>
    <t>Destination Unknown</t>
  </si>
  <si>
    <t>Though None Go with Me</t>
  </si>
  <si>
    <t>Jerry B. Jenkins</t>
  </si>
  <si>
    <t>Opening Your Child's Spiritual Windows</t>
  </si>
  <si>
    <t>Ideas to Nurture Your Child's Relationship with God</t>
  </si>
  <si>
    <t>Cheri Fuller</t>
  </si>
  <si>
    <t>All Along You Were Blooming</t>
  </si>
  <si>
    <t>Thoughts for Boundless Living</t>
  </si>
  <si>
    <t>Power and Passion</t>
  </si>
  <si>
    <t>Six Characters in Search of Resurrection</t>
  </si>
  <si>
    <t>Samuel Wells</t>
  </si>
  <si>
    <t>Sidelined</t>
  </si>
  <si>
    <t>Overcoming Odds Through Unity, Passion and Perseverance</t>
  </si>
  <si>
    <t>Chuck Pagano-Bruce A. Tollner</t>
  </si>
  <si>
    <t>A January Bride</t>
  </si>
  <si>
    <t>Deborah Raney</t>
  </si>
  <si>
    <t>How to Win Over Depression</t>
  </si>
  <si>
    <t>Hope Heals</t>
  </si>
  <si>
    <t>A True Story of Overwhelming Loss and an Overcoming Love</t>
  </si>
  <si>
    <t>Jesus Drives Me Crazy!</t>
  </si>
  <si>
    <t>Lose Your Mind, Find Your Soul</t>
  </si>
  <si>
    <t>Joy That Lasts</t>
  </si>
  <si>
    <t>Daily Inspiration for the Purpose Driven Life</t>
  </si>
  <si>
    <t>Scriptures and Reflections From the 40 Days of Purpose</t>
  </si>
  <si>
    <t>Naomi's Gift</t>
  </si>
  <si>
    <t>An Amish Christmas Story</t>
  </si>
  <si>
    <t>Authentic Faith</t>
  </si>
  <si>
    <t>The Power of a Fire-Tested Life</t>
  </si>
  <si>
    <t>Sex and the Soul of a Woman</t>
  </si>
  <si>
    <t>How God Restores the Beauty of Relationship From the Pain of Regret</t>
  </si>
  <si>
    <t>Paula Rinehart</t>
  </si>
  <si>
    <t>Mornings with Jesus 2020</t>
  </si>
  <si>
    <t>Surprised by Love</t>
  </si>
  <si>
    <t>Contemporary Classic/Streams in the Desert</t>
  </si>
  <si>
    <t>Excellence Wins</t>
  </si>
  <si>
    <t>A No-Nonsense Guide to Becoming the Best in a World of Compromise</t>
  </si>
  <si>
    <t>Horst Schulze-Dean Merrill</t>
  </si>
  <si>
    <t>O Me of Little Faith</t>
  </si>
  <si>
    <t>True Confessions of a Spiritual Weakling</t>
  </si>
  <si>
    <t>Jason Boyett</t>
  </si>
  <si>
    <t>How (Not) to Read the Bible</t>
  </si>
  <si>
    <t>Making Sense of the Anti-women, Anti-science, Pro-violence, Pro-slavery and Other Crazy-Sounding Parts of Scripture</t>
  </si>
  <si>
    <t>BS617 .K56 2020eb</t>
  </si>
  <si>
    <t>Apologetics.,Religion.</t>
  </si>
  <si>
    <t>A Very Fine House</t>
  </si>
  <si>
    <t>A Mother's Story of Love, Faith, and Crystal Meth</t>
  </si>
  <si>
    <t>Barbara Cofer Stoefen</t>
  </si>
  <si>
    <t>Hope When Life Unravels</t>
  </si>
  <si>
    <t>Finding God When It Hurts</t>
  </si>
  <si>
    <t>Critically ill children.,Suffering--Religious aspects--Christianity.</t>
  </si>
  <si>
    <t>Adam B. Dooley</t>
  </si>
  <si>
    <t>Hopelifter</t>
  </si>
  <si>
    <t>Creative Ways to Spread Hope When Life Hurts</t>
  </si>
  <si>
    <t>Stink Bug Saves the Day!</t>
  </si>
  <si>
    <t>The Parable of the Good Samaritan</t>
  </si>
  <si>
    <t>Every Child Needs a Praying Mom</t>
  </si>
  <si>
    <t>Promise of the Valley</t>
  </si>
  <si>
    <t>God's Words of Life for Women</t>
  </si>
  <si>
    <t>People Like Us</t>
  </si>
  <si>
    <t>Life with Rob Lacey, Author of The Word on the Street</t>
  </si>
  <si>
    <t>Sandra Harnisch-Lacey-Steve Stickley</t>
  </si>
  <si>
    <t>Thunder in the Morning Calm</t>
  </si>
  <si>
    <t>Beyond the Broken Church</t>
  </si>
  <si>
    <t>How to Leave Church Problems Behind Without Leaving the Church</t>
  </si>
  <si>
    <t>Sarah Raymond Cunningham</t>
  </si>
  <si>
    <t>Countdown in Cairo</t>
  </si>
  <si>
    <t>One Light Still Shines</t>
  </si>
  <si>
    <t>My Life Beyond the Shadow of the Amish Schoolhouse Shooting</t>
  </si>
  <si>
    <t>Marie Monville-Cindy Lambert</t>
  </si>
  <si>
    <t>Unlocked</t>
  </si>
  <si>
    <t>A Love Story</t>
  </si>
  <si>
    <t>Shadow Bride</t>
  </si>
  <si>
    <t>The Power of Writing It Down</t>
  </si>
  <si>
    <t>A Simple Habit to Unlock Your Brain and Reimagine Your Life</t>
  </si>
  <si>
    <t>LANGUAGE ARTS &amp; DISCIPLINES / Writing / Nonfiction (incl. Memoirs)</t>
  </si>
  <si>
    <t>BF456.W8</t>
  </si>
  <si>
    <t>Behavior modification.,Writing--Psychological aspects.,Written communication.</t>
  </si>
  <si>
    <t>Allison Fallon</t>
  </si>
  <si>
    <t>Getting Ready for the Wedding</t>
  </si>
  <si>
    <t>All You Need to Know Before You Say I Do</t>
  </si>
  <si>
    <t>The Sun Coast Chronicles</t>
  </si>
  <si>
    <t>You Are the Key</t>
  </si>
  <si>
    <t>Turning Imperfections Into Purpose</t>
  </si>
  <si>
    <t>Caitlin Crosby</t>
  </si>
  <si>
    <t>King Jesus and the Beauty of Obedience-Based Discipleship</t>
  </si>
  <si>
    <t>David Young</t>
  </si>
  <si>
    <t>A Light So Lovely</t>
  </si>
  <si>
    <t>The Spiritual Legacy of Madeleine L'Engle, Author of A Wrinkle in Time</t>
  </si>
  <si>
    <t>Sarah Arthur</t>
  </si>
  <si>
    <t>Simple Compassion</t>
  </si>
  <si>
    <t>Devotions to Make a Difference in Your Neighborhood and Your World</t>
  </si>
  <si>
    <t>Called Up</t>
  </si>
  <si>
    <t>Stories of Life and Faith From the Great Game of Baseball</t>
  </si>
  <si>
    <t>Dave Dravecky-Mike Yorkey</t>
  </si>
  <si>
    <t>The Bible Jesus Read</t>
  </si>
  <si>
    <t>Why the Old Testament Matters</t>
  </si>
  <si>
    <t>Placemaker</t>
  </si>
  <si>
    <t>Cultivating Places of Comfort, Beauty, and Peace</t>
  </si>
  <si>
    <t>Christie Purifoy</t>
  </si>
  <si>
    <t>Give Your Child the World</t>
  </si>
  <si>
    <t>Raising Globally Minded Kids One Book at a Time</t>
  </si>
  <si>
    <t>The Muir House</t>
  </si>
  <si>
    <t>Finding Moosewood, Finding God</t>
  </si>
  <si>
    <t>What Happened When a TV Newsman Abandoned His Career for Life on an Island</t>
  </si>
  <si>
    <t>Jack Perkins</t>
  </si>
  <si>
    <t>When Young Men Are Tempted</t>
  </si>
  <si>
    <t>Sexual Purity for Guys in the Real World</t>
  </si>
  <si>
    <t>William Perkins-Randy Southern</t>
  </si>
  <si>
    <t>Becoming Soul Mates</t>
  </si>
  <si>
    <t>52 Meditations to Bring Joy to Your Marriage</t>
  </si>
  <si>
    <t>Payback in Panama</t>
  </si>
  <si>
    <t>To: God, From: A Woman's Heart</t>
  </si>
  <si>
    <t>Rachel Stowe</t>
  </si>
  <si>
    <t>Love Is...</t>
  </si>
  <si>
    <t>Meditations for Couples on I Corinthians 13</t>
  </si>
  <si>
    <t>Truth Stained Lies</t>
  </si>
  <si>
    <t>12 'Christian' Beliefs That Can Drive You Crazy</t>
  </si>
  <si>
    <t>Relief From False Assumptions</t>
  </si>
  <si>
    <t>An April Bride</t>
  </si>
  <si>
    <t>Lenora Worth</t>
  </si>
  <si>
    <t>The Undertaker's Wife</t>
  </si>
  <si>
    <t>A True Story of Love, Loss, and Laughter in the Unlikeliest of Places</t>
  </si>
  <si>
    <t>Dee Oliver-Jodie Berndt</t>
  </si>
  <si>
    <t>Two Renegade Realms</t>
  </si>
  <si>
    <t>ReFocus</t>
  </si>
  <si>
    <t>Living a Life That Reflects God's Heart</t>
  </si>
  <si>
    <t>Jim Daly-Paul Batura</t>
  </si>
  <si>
    <t>Amazing Grace</t>
  </si>
  <si>
    <t>Keep the Siblings Lose the Rivalry</t>
  </si>
  <si>
    <t>10 Steps to Turn Your Kids Into Teammates</t>
  </si>
  <si>
    <t>Todd Cartmell</t>
  </si>
  <si>
    <t>20 and Something (Frames Series)</t>
  </si>
  <si>
    <t>Have the Time of Your Life (And Figure It All Out Too)</t>
  </si>
  <si>
    <t>Barna Group-David Kim</t>
  </si>
  <si>
    <t>When God's Story Becomes Your Story</t>
  </si>
  <si>
    <t>A Life of Joy</t>
  </si>
  <si>
    <t>Run with Me</t>
  </si>
  <si>
    <t>The Story of a U.S. Olympic Champion</t>
  </si>
  <si>
    <t>Gifted Hands 20th Anniversary Edition</t>
  </si>
  <si>
    <t>RD592.9.C37 A3 2011</t>
  </si>
  <si>
    <t>Neurosurgeons--United States--Biography.</t>
  </si>
  <si>
    <t>20th anniversary ed</t>
  </si>
  <si>
    <t>Faith Forward Family Devotional</t>
  </si>
  <si>
    <t>Patrick Schwenk-Ruth Schwenk</t>
  </si>
  <si>
    <t>Between Heaven and Hollywood</t>
  </si>
  <si>
    <t>Chasing Your God-Given Dream</t>
  </si>
  <si>
    <t>David A.R. White</t>
  </si>
  <si>
    <t>A Home for Lindsay</t>
  </si>
  <si>
    <t>God Walk</t>
  </si>
  <si>
    <t>Moving at the Speed of Your Soul</t>
  </si>
  <si>
    <t>The Best Devotions of Barbara Johnson</t>
  </si>
  <si>
    <t>Barbara Johnson</t>
  </si>
  <si>
    <t>Wounds Are Where Light Enters</t>
  </si>
  <si>
    <t>Stories of God's Intrusive Grace</t>
  </si>
  <si>
    <t>Katy's Homecoming</t>
  </si>
  <si>
    <t>The Teavangelicals</t>
  </si>
  <si>
    <t>The Inside Story of How the Evangelicals and the Tea Party Are Taking Back America</t>
  </si>
  <si>
    <t>POLITICAL SCIENCE / Political Process / Campaigns &amp; Elections</t>
  </si>
  <si>
    <t>David Brody</t>
  </si>
  <si>
    <t>The Original Memoirs of Charles G. Finney</t>
  </si>
  <si>
    <t>Zondervan-Garth M. Rosell-Richard Dupuis</t>
  </si>
  <si>
    <t>Lost Melody</t>
  </si>
  <si>
    <t>Lori Copeland-Virginia Smith</t>
  </si>
  <si>
    <t>To Wager Her Heart</t>
  </si>
  <si>
    <t>You Were Made for More</t>
  </si>
  <si>
    <t>The Life You Have, the Life God Wants You to Have</t>
  </si>
  <si>
    <t>Love or Work</t>
  </si>
  <si>
    <t>Is It Possible to Change the World, Stay in Love, and Raise a Healthy Family?</t>
  </si>
  <si>
    <t>HD4904.25</t>
  </si>
  <si>
    <t>Families.,Marriage.,Nuclear families.,Work and family.,Work-life balance.</t>
  </si>
  <si>
    <t>AndrÃ© Shinabarger-Jeff Shinabarger</t>
  </si>
  <si>
    <t>Their True Home</t>
  </si>
  <si>
    <t>The Pug List (with Bonus Content)</t>
  </si>
  <si>
    <t>A Ridiculous Little Dog, a Family Who Lost Everything, and How They All Found Their Way Home</t>
  </si>
  <si>
    <t>Alison Hodgson</t>
  </si>
  <si>
    <t>Folly's Bride</t>
  </si>
  <si>
    <t>Book 4</t>
  </si>
  <si>
    <t>Your New Name</t>
  </si>
  <si>
    <t>Saying Goodbye to the Labels That Limit</t>
  </si>
  <si>
    <t>Will Your Prodigal Come Home?</t>
  </si>
  <si>
    <t>The Garden Gate</t>
  </si>
  <si>
    <t>Hitler in the Crosshairs</t>
  </si>
  <si>
    <t>A GI's Story of Courage and Faith</t>
  </si>
  <si>
    <t>Maurice Possley-John D. Woodbridge</t>
  </si>
  <si>
    <t>Kind Is the New Classy</t>
  </si>
  <si>
    <t>The Power of Living Graciously</t>
  </si>
  <si>
    <t>Candace Cameron Bure-Ami McConnell</t>
  </si>
  <si>
    <t>All I'll Ever Need</t>
  </si>
  <si>
    <t>Homemade Haunting</t>
  </si>
  <si>
    <t>Spiritually Strong</t>
  </si>
  <si>
    <t>The Ultimate 6-Week Guide to Building Your Body and Soul</t>
  </si>
  <si>
    <t>365 Devotions to Love God and Love Others Well</t>
  </si>
  <si>
    <t>Encouragement</t>
  </si>
  <si>
    <t>The Unexpected Power of Building Others Up</t>
  </si>
  <si>
    <t>Larry Crabb-Dan B. Allender, PLLC</t>
  </si>
  <si>
    <t>Turn Your Season Around</t>
  </si>
  <si>
    <t>How God Transforms Your Life</t>
  </si>
  <si>
    <t>Darryl Strawberry-Lee Weeks</t>
  </si>
  <si>
    <t>Tranquility for a Woman's Soul</t>
  </si>
  <si>
    <t>Thoughts and Scriptures to Calm Your Spirit</t>
  </si>
  <si>
    <t>â€¦ for a Woman's Soul</t>
  </si>
  <si>
    <t>A Tangled Web</t>
  </si>
  <si>
    <t>Valiant Bride</t>
  </si>
  <si>
    <t>Book 1</t>
  </si>
  <si>
    <t>Picture Perfect Love</t>
  </si>
  <si>
    <t>A June Wedding Story</t>
  </si>
  <si>
    <t>Melissa McClone</t>
  </si>
  <si>
    <t>The Bible As Improv</t>
  </si>
  <si>
    <t>Be a Circle Maker</t>
  </si>
  <si>
    <t>The Solution to 10,000 Problems</t>
  </si>
  <si>
    <t>The Case for Christianity Answer Book</t>
  </si>
  <si>
    <t>The Saddle Maker's Son</t>
  </si>
  <si>
    <t>Somewhere More Holy</t>
  </si>
  <si>
    <t>Stories From a Bewildered Father, Stumbling Husband, Reluctant Handyman, and Prodigal Son</t>
  </si>
  <si>
    <t>Tony Woodlief</t>
  </si>
  <si>
    <t>The Amplified Study Bible</t>
  </si>
  <si>
    <t>BIBLES / The Amplified Bible / Study</t>
  </si>
  <si>
    <t>Teachers Are a Gift From God Greeting Book</t>
  </si>
  <si>
    <t>How to Have a Conversation with God</t>
  </si>
  <si>
    <t>Rosalind Rinker</t>
  </si>
  <si>
    <t>All Dressed Up in Love</t>
  </si>
  <si>
    <t>A March Wedding Story</t>
  </si>
  <si>
    <t>Ruth Logan Herne</t>
  </si>
  <si>
    <t>Garden City</t>
  </si>
  <si>
    <t>Work, Rest, and the Art of Being Human.</t>
  </si>
  <si>
    <t>BT701.3</t>
  </si>
  <si>
    <t>Christian life.,Theological anthropology--Christianity.,Vocation--Christianity.,Work--Religious aspects--Christianity.</t>
  </si>
  <si>
    <t>1 [edition]</t>
  </si>
  <si>
    <t>Loveology</t>
  </si>
  <si>
    <t>God. Love. Marriage. Sex. And the Never-Ending Story of Male and Female.</t>
  </si>
  <si>
    <t>Brave Mom</t>
  </si>
  <si>
    <t>Facing and Overcoming Your Real Mom Fears</t>
  </si>
  <si>
    <t>Sherry Surratt</t>
  </si>
  <si>
    <t>The Gift of Sisters</t>
  </si>
  <si>
    <t>Gods at War</t>
  </si>
  <si>
    <t>Defeating the Idols That Battle for Your Heart</t>
  </si>
  <si>
    <t>Adored</t>
  </si>
  <si>
    <t>Stories Behind the Greatest Hits of Christmas</t>
  </si>
  <si>
    <t>ML2880 .C65 2010</t>
  </si>
  <si>
    <t>Carols--History and criticism.,Christmas music--History and criticism.,Popular music--United States--History and criticism.</t>
  </si>
  <si>
    <t>Josiah for President</t>
  </si>
  <si>
    <t>Martha Bolton</t>
  </si>
  <si>
    <t>Let's Be Real</t>
  </si>
  <si>
    <t>Living Life As an Open and Honest You</t>
  </si>
  <si>
    <t>Natasha Bure</t>
  </si>
  <si>
    <t>The Farmer's Bride</t>
  </si>
  <si>
    <t>The Age of AI</t>
  </si>
  <si>
    <t>Artificial intelligence.,Image of God.,Religion and science.,Theological anthropology--Christianity.</t>
  </si>
  <si>
    <t>Jason Thacker</t>
  </si>
  <si>
    <t>Encouragement for Today</t>
  </si>
  <si>
    <t>Devotions for Everyday Living</t>
  </si>
  <si>
    <t>Renee Swope-Lysa TerKeurst-Samantha Evilsizer</t>
  </si>
  <si>
    <t>For the Rest of My Life</t>
  </si>
  <si>
    <t>Howie Finds a Hug</t>
  </si>
  <si>
    <t>Finding Selah</t>
  </si>
  <si>
    <t>The Simple Practice of Peace When You Need It Most</t>
  </si>
  <si>
    <t>Kristen Kill</t>
  </si>
  <si>
    <t>Steve McQueen</t>
  </si>
  <si>
    <t>The Salvation of an American Icon</t>
  </si>
  <si>
    <t>Greg Laurie-Marshall Terrill</t>
  </si>
  <si>
    <t>Verily, Verily</t>
  </si>
  <si>
    <t>The KJV - 400 Years of Influence and Beauty</t>
  </si>
  <si>
    <t>Jon Sweeney</t>
  </si>
  <si>
    <t>The Wedding Chapel</t>
  </si>
  <si>
    <t>Not Just Science</t>
  </si>
  <si>
    <t>Questions Where Christian Faith and Natural Science Intersect</t>
  </si>
  <si>
    <t>Preach to Yourself</t>
  </si>
  <si>
    <t>When Your Inner Critic Comes Calling, Talk Back with Truth</t>
  </si>
  <si>
    <t>Hayley Morgan</t>
  </si>
  <si>
    <t>Fear No Evil</t>
  </si>
  <si>
    <t>A Test of Faith, a Courageous Church, and an Unfailing God</t>
  </si>
  <si>
    <t>Brady Boyd</t>
  </si>
  <si>
    <t>Mornings with Jesus 2018</t>
  </si>
  <si>
    <t>The Lion of War Collection</t>
  </si>
  <si>
    <t>Day of War, Covenant of War</t>
  </si>
  <si>
    <t>Be You</t>
  </si>
  <si>
    <t>20 Ways to Embrace Who You Really Are</t>
  </si>
  <si>
    <t>Bridging Theory and Practice in Children's Spirituality</t>
  </si>
  <si>
    <t>New Directions for Education, Ministry, and Discipleship</t>
  </si>
  <si>
    <t>BV4571.3</t>
  </si>
  <si>
    <t>Christian children--Religious life.,Church work with children.,Faith development.</t>
  </si>
  <si>
    <t>The Blessings of Brokenness</t>
  </si>
  <si>
    <t>Why God Allows Us to Go Through Hard Times</t>
  </si>
  <si>
    <t>A Prayer for Every Occasion</t>
  </si>
  <si>
    <t>Premiere</t>
  </si>
  <si>
    <t>Riley Unlikely</t>
  </si>
  <si>
    <t>With Simple Childlike Faith, Amazing Things Can Happen</t>
  </si>
  <si>
    <t>Riley Banks-Snyder</t>
  </si>
  <si>
    <t>The Loyal Heart</t>
  </si>
  <si>
    <t>Praying the Scriptures for Your Teens</t>
  </si>
  <si>
    <t>25 Days, 26 Ways to Make This Your Best Christmas Ever</t>
  </si>
  <si>
    <t>He's Been Faithful</t>
  </si>
  <si>
    <t>Trusting God to Do What Only He Can Do</t>
  </si>
  <si>
    <t>Carol Cymbala-Ann Spangler</t>
  </si>
  <si>
    <t>How to Be Present in an Absent World</t>
  </si>
  <si>
    <t>A Leader's Guide to Showing Up, Paying Attention, and Becoming Fully Human</t>
  </si>
  <si>
    <t>Christian life.,Leadership--Religious aspects--Christianity.,Presence (Philosophy),Self-actualization (Psychology)--Religious aspects--Christianity.</t>
  </si>
  <si>
    <t>Daniel Montgomery-Eboni Webb-Kenny Silva</t>
  </si>
  <si>
    <t>The Baxters Take Three</t>
  </si>
  <si>
    <t>The Miracles Answer Book</t>
  </si>
  <si>
    <t>Praying the Scriptures for Your Adult Children</t>
  </si>
  <si>
    <t>Trusting God with the Ones You Love</t>
  </si>
  <si>
    <t>Undaunted Spirit</t>
  </si>
  <si>
    <t>Contemporary Classic/Devotions for a Deeper Life</t>
  </si>
  <si>
    <t>The Second Half of Marriage</t>
  </si>
  <si>
    <t>Facing the Eight Challenges of the Empty-Nest Years</t>
  </si>
  <si>
    <t>Second Half of Marriage</t>
  </si>
  <si>
    <t>Fresh Faith</t>
  </si>
  <si>
    <t>What Happens When Real Faith Ignites God's People</t>
  </si>
  <si>
    <t>BV4637</t>
  </si>
  <si>
    <t>Faith.</t>
  </si>
  <si>
    <t>Love in Three-Quarter Time</t>
  </si>
  <si>
    <t>Dina Sleiman</t>
  </si>
  <si>
    <t>The God Who Provides</t>
  </si>
  <si>
    <t>100 Bible Verses for Financial Wisdom</t>
  </si>
  <si>
    <t>Baskets of Sunshine</t>
  </si>
  <si>
    <t>Trion Rising</t>
  </si>
  <si>
    <t>From Social Media to Social Ministry</t>
  </si>
  <si>
    <t>A Guide to Digital Discipleship</t>
  </si>
  <si>
    <t>BR99.74 .J664 2020eb</t>
  </si>
  <si>
    <t>Online social networks--Religious aspects--Christianity.,Social media.</t>
  </si>
  <si>
    <t>Nona Jones</t>
  </si>
  <si>
    <t>Real Simplicity</t>
  </si>
  <si>
    <t>Rozanne Frazee-Randy Frazee</t>
  </si>
  <si>
    <t>Watershed Moments</t>
  </si>
  <si>
    <t>Turning Points That Change the Course of Our Lives</t>
  </si>
  <si>
    <t>Shotgun Angels</t>
  </si>
  <si>
    <t>My Story of Broken Roads and Unshakeable Hope</t>
  </si>
  <si>
    <t>Jay DeMarcus-Timothy D. Willard</t>
  </si>
  <si>
    <t>Evidence of Mercy</t>
  </si>
  <si>
    <t>A Matter of Character</t>
  </si>
  <si>
    <t>The Sisters of Bethlehem Springs</t>
  </si>
  <si>
    <t>Mirror Bride</t>
  </si>
  <si>
    <t>Finishing Well</t>
  </si>
  <si>
    <t>The Adventure of Life Beyond Halftime</t>
  </si>
  <si>
    <t>BV4580</t>
  </si>
  <si>
    <t>Older Christians--Religious life.,Success--Religious aspects--Christianity.</t>
  </si>
  <si>
    <t>1st Zondervan ed</t>
  </si>
  <si>
    <t>At the Master's Feet</t>
  </si>
  <si>
    <t>Zondervan-Audie G. Lewis</t>
  </si>
  <si>
    <t>Southern Storm</t>
  </si>
  <si>
    <t>The Nesting Place</t>
  </si>
  <si>
    <t>It Doesn't Have to Be Perfect to Be Beautiful</t>
  </si>
  <si>
    <t>Deception on Sable Hill</t>
  </si>
  <si>
    <t>A Reckless Heart</t>
  </si>
  <si>
    <t xml:space="preserve">YOUNG ADULT FICTION / Family / Parents </t>
  </si>
  <si>
    <t>A March Bride</t>
  </si>
  <si>
    <t>Simply Sacred</t>
  </si>
  <si>
    <t>The Jesus Bible, ESV Edition</t>
  </si>
  <si>
    <t>BIBLES / English Standard Version / Study</t>
  </si>
  <si>
    <t>The Story of God's Love for You</t>
  </si>
  <si>
    <t>Beyond the Farthest Star</t>
  </si>
  <si>
    <t>Stealing Bradford</t>
  </si>
  <si>
    <t>Diamonds in the Dust</t>
  </si>
  <si>
    <t>366 Sparkling Devotions</t>
  </si>
  <si>
    <t>The Way to Heaven</t>
  </si>
  <si>
    <t>The Gospel According to John Wesley</t>
  </si>
  <si>
    <t>Steve Harper</t>
  </si>
  <si>
    <t>The Fire in Ember</t>
  </si>
  <si>
    <t>Carolyn Custis James</t>
  </si>
  <si>
    <t>RELIGION / Biblical Studies / Old Testament / Prophets</t>
  </si>
  <si>
    <t>The Courage You Need to Live the Life God Wants for You</t>
  </si>
  <si>
    <t>Banning Liebscher</t>
  </si>
  <si>
    <t>The One Word That Changes Everything for Your Marriage</t>
  </si>
  <si>
    <t>Luke</t>
  </si>
  <si>
    <t>RELIGION / Christian Theology / Soteriology</t>
  </si>
  <si>
    <t>Hebrews</t>
  </si>
  <si>
    <t>RELIGION / Biblical Studies / New Testament / General Epistles</t>
  </si>
  <si>
    <t>Barry Shafer</t>
  </si>
  <si>
    <t>Digging Deeper</t>
  </si>
  <si>
    <t>How to Stop Running the Show and Start Walking in Faith</t>
  </si>
  <si>
    <t>RELIGION / Biblical Commentary / New Testament / Jesus, the Gospels &amp; Acts</t>
  </si>
  <si>
    <t>RELIGION / Biblical Meditations / Old Testament</t>
  </si>
  <si>
    <t>RELIGION / Biblical Commentary / Old Testament / Historical Books</t>
  </si>
  <si>
    <t>Uncomplicate Your Life, God's Way</t>
  </si>
  <si>
    <t>Doug Fields</t>
  </si>
  <si>
    <t>Discovering Fierce Faith, Unquenchable Passion and a Life-Giving God</t>
  </si>
  <si>
    <t>RELIGION / Biblical Studies / Old Testament / Historical Books</t>
  </si>
  <si>
    <t>Kevin Johnson</t>
  </si>
  <si>
    <t>Kara Powell-Brad M. Griffin</t>
  </si>
  <si>
    <t>Discovering Contentment in a World of Consumption</t>
  </si>
  <si>
    <t>Jeff Manion</t>
  </si>
  <si>
    <t>N. T. Wright-Michael F. Bird</t>
  </si>
  <si>
    <t>Philippians</t>
  </si>
  <si>
    <t>BV4520</t>
  </si>
  <si>
    <t>1 and 2 Thessalonians</t>
  </si>
  <si>
    <t>RELIGION / Biblical Studies / Old Testament / Pentateuch</t>
  </si>
  <si>
    <t>BS2665.53</t>
  </si>
  <si>
    <t>Please Don't Say You Need Me</t>
  </si>
  <si>
    <t>Biblical Answers for Codependency</t>
  </si>
  <si>
    <t>Jan Silvious</t>
  </si>
  <si>
    <t>A Place of Peace</t>
  </si>
  <si>
    <t>The Book of Comforts</t>
  </si>
  <si>
    <t>Genuine Encouragement for Hard Times</t>
  </si>
  <si>
    <t>Kaitlin Wernet-Rebecca Faires-Cymone Wilder-Caleb Faires</t>
  </si>
  <si>
    <t>Fight</t>
  </si>
  <si>
    <t>Winning the Battles That Matter Most</t>
  </si>
  <si>
    <t>Day-votions for Mothers</t>
  </si>
  <si>
    <t>The Guest Book</t>
  </si>
  <si>
    <t>Bad Dads of the Bible</t>
  </si>
  <si>
    <t>8 Mistakes Every Good Dad Can Avoid</t>
  </si>
  <si>
    <t>Roland Warren</t>
  </si>
  <si>
    <t>Jesus, Bread, and Chocolate</t>
  </si>
  <si>
    <t>Crafting a Handmade Faith in a Mass-Market World</t>
  </si>
  <si>
    <t>John J. Thompson</t>
  </si>
  <si>
    <t>Undone</t>
  </si>
  <si>
    <t>A Story of Making Peace With an Unexpected Life</t>
  </si>
  <si>
    <t>Devotions for the Man in the Mirror</t>
  </si>
  <si>
    <t>75 Readings to Cultivate a Deeper Walk with Christ</t>
  </si>
  <si>
    <t>Awaken the Leader Within</t>
  </si>
  <si>
    <t>How the Wisdom of Jesus Can Unleash Your Potential</t>
  </si>
  <si>
    <t>The Broken Window</t>
  </si>
  <si>
    <t>Distortion</t>
  </si>
  <si>
    <t>NKJV, The Story</t>
  </si>
  <si>
    <t>Play with Fire</t>
  </si>
  <si>
    <t>Relentless</t>
  </si>
  <si>
    <t>The Unshakeable Presence of a God Who Never Leaves</t>
  </si>
  <si>
    <t>The Perfect Arrangement</t>
  </si>
  <si>
    <t>An October Wedding Story</t>
  </si>
  <si>
    <t>Katie Ganshert</t>
  </si>
  <si>
    <t>A Season of Love</t>
  </si>
  <si>
    <t>A Year of Playing Catch</t>
  </si>
  <si>
    <t>What a Simple Daily Experiment Taught Me About Life</t>
  </si>
  <si>
    <t>SPORTS &amp; RECREATION / Baseball / Essays &amp; Writings</t>
  </si>
  <si>
    <t>Ethan D. Bryan</t>
  </si>
  <si>
    <t>Always Watching</t>
  </si>
  <si>
    <t>White Lies</t>
  </si>
  <si>
    <t>Nine Ways to Expose and Resist the Racial Systems That Divide Us</t>
  </si>
  <si>
    <t>Race relations--Religious aspects--Christianity.,Social movements.</t>
  </si>
  <si>
    <t>Daniel Hill</t>
  </si>
  <si>
    <t>An Amish Family</t>
  </si>
  <si>
    <t>Harriet Beamer Takes the Bus</t>
  </si>
  <si>
    <t>Breaker's Reef</t>
  </si>
  <si>
    <t>Material Witness</t>
  </si>
  <si>
    <t>Mad Maddie Maxwell</t>
  </si>
  <si>
    <t>Stacie K.B. Maslyn</t>
  </si>
  <si>
    <t>The House of Zondervan</t>
  </si>
  <si>
    <t>Celebrating 75 Years</t>
  </si>
  <si>
    <t>Jim Ruark</t>
  </si>
  <si>
    <t>Winning the Heart of Your Stepchild</t>
  </si>
  <si>
    <t>Robert G. Barnes</t>
  </si>
  <si>
    <t>Allâ€™s Fair in Love and Cupcakes</t>
  </si>
  <si>
    <t>Faith in the Voting Booth</t>
  </si>
  <si>
    <t>Practical Wisdom for Voting Well</t>
  </si>
  <si>
    <t>Leith Anderson-Galen Carey</t>
  </si>
  <si>
    <t>Touch the World Through Prayer</t>
  </si>
  <si>
    <t>Finding Faith---A Search for What Is Real</t>
  </si>
  <si>
    <t>Murder in Miami</t>
  </si>
  <si>
    <t>Subversive Jesus</t>
  </si>
  <si>
    <t>An Adventure in Justice, Mercy, and Faithfulness in a Broken World</t>
  </si>
  <si>
    <t>Craig Warren Greenfield</t>
  </si>
  <si>
    <t>The Starfish and the Spirit</t>
  </si>
  <si>
    <t>Unleashing the Leadership Potential of Churches and Organizations</t>
  </si>
  <si>
    <t>RELIGION / Christian Church / Administration</t>
  </si>
  <si>
    <t>Christian leadership.,Leadership--Religious aspects--Christianity.,Mission of the church.</t>
  </si>
  <si>
    <t>Lance Ford-Rob Wegner-Alan Hirsch</t>
  </si>
  <si>
    <t>Exponential Series</t>
  </si>
  <si>
    <t>Feisty and Feminine</t>
  </si>
  <si>
    <t>A Rallying Cry for Conservative Women</t>
  </si>
  <si>
    <t>Penny Young Nance</t>
  </si>
  <si>
    <t>Raising an Original</t>
  </si>
  <si>
    <t>Parenting Each Child According to Their Unique God-Given Temperament</t>
  </si>
  <si>
    <t>FAMILY &amp; RELATIONSHIPS / Life Stages / Infants &amp; Toddlers</t>
  </si>
  <si>
    <t>Julie Lyles Carr</t>
  </si>
  <si>
    <t>A Prophet with Honor</t>
  </si>
  <si>
    <t>The Billy Graham Story (Updated Edition)</t>
  </si>
  <si>
    <t>The Navy Jag Collection</t>
  </si>
  <si>
    <t>Detained and Code 13</t>
  </si>
  <si>
    <t>Success From the Inside Out</t>
  </si>
  <si>
    <t>Power to Rise From the Past to a Fulfilling Future</t>
  </si>
  <si>
    <t>The Surge</t>
  </si>
  <si>
    <t>Churches Catching the Wave of Christ's Love for the Nations</t>
  </si>
  <si>
    <t>Pete Briscoe</t>
  </si>
  <si>
    <t>Jesus Died for This?</t>
  </si>
  <si>
    <t>A Religious Satirist's Search for the Risen Christ</t>
  </si>
  <si>
    <t>Becky Garrison</t>
  </si>
  <si>
    <t>Born For It</t>
  </si>
  <si>
    <t>90 Days and 90 Ways to Discover Your Gifts and Purpose</t>
  </si>
  <si>
    <t>Carson Case</t>
  </si>
  <si>
    <t>Brave Surrender</t>
  </si>
  <si>
    <t>Let Godâ€™s Love Rewrite Your Story</t>
  </si>
  <si>
    <t>MUSIC / Religious / Contemporary Christian</t>
  </si>
  <si>
    <t>Kim Walker-Smith</t>
  </si>
  <si>
    <t>Let. It. Go.</t>
  </si>
  <si>
    <t>Before You Were Mine</t>
  </si>
  <si>
    <t>Discovering Your Adopted Childâ€™s Lifestory</t>
  </si>
  <si>
    <t>Susan TeBos-Carissa Woodwyk</t>
  </si>
  <si>
    <t>Seven Seasons of the Man in the Mirror</t>
  </si>
  <si>
    <t>Guidance for Each Major Phase of Your Life</t>
  </si>
  <si>
    <t>Love in the Details</t>
  </si>
  <si>
    <t>A November Wedding Story</t>
  </si>
  <si>
    <t>Becky Wade</t>
  </si>
  <si>
    <t>Scouting the Divine</t>
  </si>
  <si>
    <t>Searching for God in Wine, Wool, and Wild Honey</t>
  </si>
  <si>
    <t>Cherish</t>
  </si>
  <si>
    <t>Seasons Under Heaven</t>
  </si>
  <si>
    <t>Do It Scared</t>
  </si>
  <si>
    <t>Finding the Courage to Face Your Fears, Overcome Adversity, and Create a Life You Love</t>
  </si>
  <si>
    <t>What Cancer Cannot Do</t>
  </si>
  <si>
    <t>Serving Up a Sweetheart</t>
  </si>
  <si>
    <t>A February Wedding Story</t>
  </si>
  <si>
    <t>Cheryl Wyatt</t>
  </si>
  <si>
    <t>Bryson City Seasons</t>
  </si>
  <si>
    <t>More Tales of a Doctorâ€™s Practice in the Smoky Mountains</t>
  </si>
  <si>
    <t>Generation Change, Revised and Expanded Edition</t>
  </si>
  <si>
    <t>More Precious Than Silver</t>
  </si>
  <si>
    <t>Dream Big, Think Small</t>
  </si>
  <si>
    <t>Living an Extraordinary Life One Day at a Time</t>
  </si>
  <si>
    <t>An Amish Hope</t>
  </si>
  <si>
    <t>A Choice to Forgive, Always His Providence, A Gift for Anne Marie</t>
  </si>
  <si>
    <t>Beth Wiseman-Kathleen Fuller-Ruth Reid</t>
  </si>
  <si>
    <t>Thin Places</t>
  </si>
  <si>
    <t>Our Daily Blog</t>
  </si>
  <si>
    <t>Devotions by Pastor Jim Laffoon</t>
  </si>
  <si>
    <t>Newsboys-Jim Laffoon</t>
  </si>
  <si>
    <t>The Land Between</t>
  </si>
  <si>
    <t>Finding God in Difficult Transitions</t>
  </si>
  <si>
    <t>Faithful Finance</t>
  </si>
  <si>
    <t>10 Secrets to Move From Fearful Insecurity to Confident Control</t>
  </si>
  <si>
    <t>Emily G. Stroud</t>
  </si>
  <si>
    <t>The Spring of Candy Apples</t>
  </si>
  <si>
    <t>Pure Love, Pure Life</t>
  </si>
  <si>
    <t>Exploring God's Heart on Purity</t>
  </si>
  <si>
    <t>YOUNG ADULT NONFICTION / Health &amp; Daily Living / Sexuality &amp; Pregnancy</t>
  </si>
  <si>
    <t>Elsa Kok Colopy</t>
  </si>
  <si>
    <t>Crossroads</t>
  </si>
  <si>
    <t>Stephanie Smith-Suzy Weibel</t>
  </si>
  <si>
    <t>Praying with Women of the Bible</t>
  </si>
  <si>
    <t>Nancy Kennedy</t>
  </si>
  <si>
    <t>I Love You More</t>
  </si>
  <si>
    <t>How Everyday Problems Can Strengthen Your Marriage</t>
  </si>
  <si>
    <t>Secret Power for Girls</t>
  </si>
  <si>
    <t>Secret Power Bible Studies for Girls</t>
  </si>
  <si>
    <t>Amplified Holy Bible</t>
  </si>
  <si>
    <t>Captures the Full Meaning Behind the Original Greek and Hebrew</t>
  </si>
  <si>
    <t>Life Conquers Death</t>
  </si>
  <si>
    <t>Meditations on the Garden, the Cross, and the Tree of Life</t>
  </si>
  <si>
    <t>John Arnold</t>
  </si>
  <si>
    <t>With Winter's First Frost</t>
  </si>
  <si>
    <t>Made for These Times</t>
  </si>
  <si>
    <t>A Start-Up Guide to Calling, Character, and Work That Matters</t>
  </si>
  <si>
    <t>Justin Zoradi</t>
  </si>
  <si>
    <t>Belonging</t>
  </si>
  <si>
    <t>Love-Powered Parenting</t>
  </si>
  <si>
    <t>Loving Your Kids the Way Jesus Loves You</t>
  </si>
  <si>
    <t>Tom Holladay-Chaundel Holladay</t>
  </si>
  <si>
    <t>The Forgotten Recipe</t>
  </si>
  <si>
    <t>10 Great Dates Before You Say 'I Do'</t>
  </si>
  <si>
    <t>David and Claudia Arp-Curt Brown-Natelle Brown</t>
  </si>
  <si>
    <t>The Trumpet and Vine Collection</t>
  </si>
  <si>
    <t>Sweet Olive, Magnolia Market</t>
  </si>
  <si>
    <t>Beneath the Summer Sun</t>
  </si>
  <si>
    <t>Your Money, Your Marriage</t>
  </si>
  <si>
    <t>The Secrets to Smart Finance, Spicy Romance, and Their Intimate Connection</t>
  </si>
  <si>
    <t>Cherie Lowe-Brian Lowe</t>
  </si>
  <si>
    <t>How to Have That Difficult Conversation</t>
  </si>
  <si>
    <t>Gaining the Skills for Honest and Meaningful Communication</t>
  </si>
  <si>
    <t>SELF-HELP / Communication &amp; Social Skills</t>
  </si>
  <si>
    <t>BV4597.53.C58 C568 2015</t>
  </si>
  <si>
    <t>Psychology.</t>
  </si>
  <si>
    <t>Joni and Ken</t>
  </si>
  <si>
    <t>An Untold Love Story</t>
  </si>
  <si>
    <t>Ken Tada-Joni Eareckson Tada-Larry Libby</t>
  </si>
  <si>
    <t>Jefferson Burke and the Secret of the Lost Scroll</t>
  </si>
  <si>
    <t>The Fisherman's Testament</t>
  </si>
  <si>
    <t>CÃ©sar Vidal</t>
  </si>
  <si>
    <t>The Daniel Cure</t>
  </si>
  <si>
    <t>The Daniel Fast Way to Vibrant Health</t>
  </si>
  <si>
    <t>Susan Gregory-Richard J. Bloomer</t>
  </si>
  <si>
    <t>The Ultimate Girls' Body Book</t>
  </si>
  <si>
    <t>Not-So-Silly Questions About Your Body</t>
  </si>
  <si>
    <t>Walt Larimore, MD-Amaryllis SÃ¡nchez Wohlever, MD</t>
  </si>
  <si>
    <t>Love at Mistletoe Inn</t>
  </si>
  <si>
    <t>A December Wedding Story</t>
  </si>
  <si>
    <t>Cindy Kirk</t>
  </si>
  <si>
    <t>The Way of the Shepherd</t>
  </si>
  <si>
    <t>Seven Secrets to Managing Productive People</t>
  </si>
  <si>
    <t>Leadership--United States.,Supervision of employees--United States.</t>
  </si>
  <si>
    <t>Kevin Leman-William Pentak</t>
  </si>
  <si>
    <t>Faith and Other Flat Tires</t>
  </si>
  <si>
    <t>Searching for God on the Rough Road of Doubt</t>
  </si>
  <si>
    <t>Andrea Palpant Dilley</t>
  </si>
  <si>
    <t>America's Expiration Date</t>
  </si>
  <si>
    <t>The Fall of Empires and Superpowers... And the Future of the United States</t>
  </si>
  <si>
    <t>POLITICAL SCIENCE / History &amp; Theory</t>
  </si>
  <si>
    <t>The Code of Silence Collection</t>
  </si>
  <si>
    <t>Complete Series</t>
  </si>
  <si>
    <t>Dear Lady</t>
  </si>
  <si>
    <t>A Christmas Gift for Rose</t>
  </si>
  <si>
    <t>Second Half for the Man in the Mirror</t>
  </si>
  <si>
    <t>How to Find God's Will for the Rest of Your Journey</t>
  </si>
  <si>
    <t>Unshakeable</t>
  </si>
  <si>
    <t>365 Devotions for Finding Unwavering Strength in Godâ€™s Word</t>
  </si>
  <si>
    <t>A November Bride</t>
  </si>
  <si>
    <t>Beth K. Vogt</t>
  </si>
  <si>
    <t>Not a Fan and Gods at War Student Edition Compilation</t>
  </si>
  <si>
    <t>Explore What It Means to Live Out Your Faith</t>
  </si>
  <si>
    <t>Turn Four</t>
  </si>
  <si>
    <t>A Novel of the Superspeedways</t>
  </si>
  <si>
    <t>Tom Morrisey</t>
  </si>
  <si>
    <t>Through the Autumn Air</t>
  </si>
  <si>
    <t>The Restoration Collection</t>
  </si>
  <si>
    <t>Last Light, Night Light, True Light, Dawn's Light</t>
  </si>
  <si>
    <t>The God of All Comfort</t>
  </si>
  <si>
    <t>Finding Your Way Into His Arms</t>
  </si>
  <si>
    <t>Dee Brestin</t>
  </si>
  <si>
    <t>More Stories Behind the Best-Loved Songs of Christmas</t>
  </si>
  <si>
    <t>ML2880</t>
  </si>
  <si>
    <t>One Beautiful Dream</t>
  </si>
  <si>
    <t>The Rollicking Tale of Family Chaos, Personal Passions, and Saying Yes to Them Both</t>
  </si>
  <si>
    <t>Every Word Matters</t>
  </si>
  <si>
    <t>The Key to an Intentional Life</t>
  </si>
  <si>
    <t>Draw the Circle</t>
  </si>
  <si>
    <t>The 40 Day Prayer Challenge</t>
  </si>
  <si>
    <t>The God-First Life</t>
  </si>
  <si>
    <t>The Merlin Spiral Trilogy</t>
  </si>
  <si>
    <t>Merlinâ€™s Blade, Merlinâ€™s Shadow, and Merlinâ€™s Nightmare</t>
  </si>
  <si>
    <t xml:space="preserve">YOUNG ADULT FICTION / Legends, Myths, Fables / Arthurian </t>
  </si>
  <si>
    <t>Robert Treskillard</t>
  </si>
  <si>
    <t>The Merlin Spiral</t>
  </si>
  <si>
    <t>The Three-Mile Walk</t>
  </si>
  <si>
    <t>How to Fix a Broken Record</t>
  </si>
  <si>
    <t>Thoughts on Vinyl Records, Awkward Relationships, and Learning to Be Myself</t>
  </si>
  <si>
    <t>Amena Brown</t>
  </si>
  <si>
    <t>The Bishop's Son</t>
  </si>
  <si>
    <t>Mountains of Grace</t>
  </si>
  <si>
    <t>The Most Beautiful Thing I've Seen</t>
  </si>
  <si>
    <t>Opening Your Eyes to Wonder</t>
  </si>
  <si>
    <t>Lisa Gungor</t>
  </si>
  <si>
    <t>Church Plantology</t>
  </si>
  <si>
    <t>The Art and Science of Planting Churches</t>
  </si>
  <si>
    <t>Peyton Jones</t>
  </si>
  <si>
    <t>Only One Life</t>
  </si>
  <si>
    <t>How a Woman's Every Day Shapes an Eternal Legacy</t>
  </si>
  <si>
    <t>Jackie Green-Lauren Green McAfee-Bill High</t>
  </si>
  <si>
    <t>Sons and Daughters</t>
  </si>
  <si>
    <t>Spiritual Orphans Finding Our Way Home</t>
  </si>
  <si>
    <t>Face to Face: Praying the Scriptures for Intimate Worship</t>
  </si>
  <si>
    <t>Face to Face / Intimate Worship</t>
  </si>
  <si>
    <t>The Dawn Mistaken for Dusk</t>
  </si>
  <si>
    <t>If God So Loved the World, Why Can't We?</t>
  </si>
  <si>
    <t>You Have a Soul</t>
  </si>
  <si>
    <t>It Weighs Nothing but Means Everything</t>
  </si>
  <si>
    <t>What Every Groom Needs to Know</t>
  </si>
  <si>
    <t>The Most Important Year in a Man's Life</t>
  </si>
  <si>
    <t>Robert Wolgemuth-Mark DeVries</t>
  </si>
  <si>
    <t>Above All Else</t>
  </si>
  <si>
    <t>60 Devotions for Young Women</t>
  </si>
  <si>
    <t>Chelsea Crockett</t>
  </si>
  <si>
    <t>Devotions for Easter</t>
  </si>
  <si>
    <t>Stacy J. Edwards</t>
  </si>
  <si>
    <t>The Year of Living Like Jesus</t>
  </si>
  <si>
    <t>My Journey of Discovering What Jesus Would Really Do</t>
  </si>
  <si>
    <t>Edward G. Dobson</t>
  </si>
  <si>
    <t>Defiance</t>
  </si>
  <si>
    <t>Jesus for President</t>
  </si>
  <si>
    <t>Politics for Ordinary Radicals</t>
  </si>
  <si>
    <t>Shane Claiborne-Chris Haw</t>
  </si>
  <si>
    <t>Mighty Prevailing Prayer</t>
  </si>
  <si>
    <t>Experiencing the Power of Answered Prayer</t>
  </si>
  <si>
    <t>An Amish Heirloom</t>
  </si>
  <si>
    <t>A Legacy of Love, The Cedar Chest, The Treasured Book, The Midwife's Dream</t>
  </si>
  <si>
    <t>The Naked Gospel</t>
  </si>
  <si>
    <t>Truth You May Never Hear in Church</t>
  </si>
  <si>
    <t>Andrew Farley</t>
  </si>
  <si>
    <t>The Heart of Memory</t>
  </si>
  <si>
    <t>Alison Strobel</t>
  </si>
  <si>
    <t>Edge of Honor</t>
  </si>
  <si>
    <t>Helping the Struggling Adolescent</t>
  </si>
  <si>
    <t>A Guide to Thirty-Six Common Problems for Counselors, Pastors, and Youth Workers</t>
  </si>
  <si>
    <t>HV1431</t>
  </si>
  <si>
    <t>Adolescent psychology--United States.,Church work with teenagers--United States.,Teenagers--Counseling of--United States.</t>
  </si>
  <si>
    <t>Mirrors and Maps</t>
  </si>
  <si>
    <t>An August Bride</t>
  </si>
  <si>
    <t>When God Weeps</t>
  </si>
  <si>
    <t>Why Our Sufferings Matter to the Almighty</t>
  </si>
  <si>
    <t>Walking in the Dust of Rabbi Jesus</t>
  </si>
  <si>
    <t>How the Jewish Words of Jesus Can Change Your Life</t>
  </si>
  <si>
    <t>Lois Tverberg</t>
  </si>
  <si>
    <t>The Summer of Cotton Candy</t>
  </si>
  <si>
    <t>How to Fight Racism</t>
  </si>
  <si>
    <t>HT1521 .T57 2021eb</t>
  </si>
  <si>
    <t>Anti-racism.,Christian life.,Race relations--Religious aspects--Christianity.,Racial justice.,Racism--Religious aspects--Christianity.,Title from resource description page (Recorded Boo</t>
  </si>
  <si>
    <t>The Jam and Jelly Nook</t>
  </si>
  <si>
    <t>A Stand-Up Guy</t>
  </si>
  <si>
    <t>The Remarkable Ordinary</t>
  </si>
  <si>
    <t>How to Stop, Look, and Listen to Life</t>
  </si>
  <si>
    <t>Your Own Beautiful</t>
  </si>
  <si>
    <t>Advice and Inspiration From Chelsea Crockett</t>
  </si>
  <si>
    <t xml:space="preserve">YOUNG ADULT NONFICTION / Social Topics / Dating &amp; Sex </t>
  </si>
  <si>
    <t>Made in His Image</t>
  </si>
  <si>
    <t>100 Bible Verses to Grow in Health and Wholeness</t>
  </si>
  <si>
    <t>If I Live</t>
  </si>
  <si>
    <t>The Shipshewana Amish Mystery Collection</t>
  </si>
  <si>
    <t>Empowered by Faith</t>
  </si>
  <si>
    <t>An Uncertain Choice</t>
  </si>
  <si>
    <t>Windows of the Soul</t>
  </si>
  <si>
    <t>Hearing God in the Everyday Moments of Your Life</t>
  </si>
  <si>
    <t>BT741.2 .G57 2009eb</t>
  </si>
  <si>
    <t>Experience (Religion),Soul--Christianity.,Spiritual life--Christianity.</t>
  </si>
  <si>
    <t>ePub edition</t>
  </si>
  <si>
    <t>My School</t>
  </si>
  <si>
    <t>The Christian Man</t>
  </si>
  <si>
    <t>A Conversation About the 10 Issues Men Say Matter Most</t>
  </si>
  <si>
    <t>Deepen Your Faith</t>
  </si>
  <si>
    <t>Three Essential Student Editions by Kyle Idleman, Mark and Parker Batterson, and Mark Hall</t>
  </si>
  <si>
    <t>Loving Him Well</t>
  </si>
  <si>
    <t>Practical Advice on Influencing Your Husband</t>
  </si>
  <si>
    <t>The Book of Waking Up</t>
  </si>
  <si>
    <t>Experiencing the Divine Love That Reorders a Life</t>
  </si>
  <si>
    <t>Urban Apologetics</t>
  </si>
  <si>
    <t>Restoring Black Dignity with the Gospel</t>
  </si>
  <si>
    <t>BR563.N4</t>
  </si>
  <si>
    <t>African American churches.,African American women--Conduct of life.,African Americans--Religion.,Church work with African Americans.</t>
  </si>
  <si>
    <t>Eric Mason</t>
  </si>
  <si>
    <t>Grace From the Rubble</t>
  </si>
  <si>
    <t>Two Fathers' Road to Reconciliation After the Oklahoma City Bombing</t>
  </si>
  <si>
    <t>Jeanne Bishop</t>
  </si>
  <si>
    <t>Surviving a Spiritual Mismatch in Marriage</t>
  </si>
  <si>
    <t>Wisdom On â€¦ Music, Movies and Television</t>
  </si>
  <si>
    <t>When Is It Right to Die?</t>
  </si>
  <si>
    <t>A Comforting and Surprising Look at Death and Dying</t>
  </si>
  <si>
    <t>HV6548.U5</t>
  </si>
  <si>
    <t>Euthanasia--Social aspects--United States.,Law.,People with disabilities--United States--Attitudes.,Right to die--United States.,Suicide--Social aspects--United States.</t>
  </si>
  <si>
    <t>Church: Why Bother?</t>
  </si>
  <si>
    <t>Growing Deeper</t>
  </si>
  <si>
    <t>Everything Counts Revised Edition</t>
  </si>
  <si>
    <t>A Yearâ€™s Worth of Devotions for Radical Living</t>
  </si>
  <si>
    <t>Be the Change, Revised and Expanded Edition</t>
  </si>
  <si>
    <t>Loaves of Love</t>
  </si>
  <si>
    <t>All In</t>
  </si>
  <si>
    <t>You Are One Decision Away From a Totally Different Life</t>
  </si>
  <si>
    <t>Autumn Brides</t>
  </si>
  <si>
    <t>Kathryn Springer-Katie Ganshert-Beth K. Vogt</t>
  </si>
  <si>
    <t>Take This Cup</t>
  </si>
  <si>
    <t>The Merchant's Daughter</t>
  </si>
  <si>
    <t>Home by Summer</t>
  </si>
  <si>
    <t>Lead Me Home</t>
  </si>
  <si>
    <t>Common Prayer Pocket Edition</t>
  </si>
  <si>
    <t>A Liturgy for Ordinary Radicals</t>
  </si>
  <si>
    <t>BV198</t>
  </si>
  <si>
    <t>Occasional services.,Prayers.,Worship programs.</t>
  </si>
  <si>
    <t>Shane Claiborne-Jonathan Wilson-Hartgrove-Enuma Okoro</t>
  </si>
  <si>
    <t>A September Bride</t>
  </si>
  <si>
    <t>The Cedar Chest</t>
  </si>
  <si>
    <t>Eight Little Faces</t>
  </si>
  <si>
    <t>The Scent of Water</t>
  </si>
  <si>
    <t>Grace for Every Kind of Broken</t>
  </si>
  <si>
    <t>Naomi Zacharias</t>
  </si>
  <si>
    <t>An October Bride</t>
  </si>
  <si>
    <t>The Case for Miracles Student Edition</t>
  </si>
  <si>
    <t>A Journalist Explores the Evidence for the Supernatural</t>
  </si>
  <si>
    <t>An Amish Table</t>
  </si>
  <si>
    <t>A Recipe for Hope, Building Faith, Love in Store</t>
  </si>
  <si>
    <t>Praying Circles Around Your Marriage</t>
  </si>
  <si>
    <t>Joel Schmidgall-Nina Schmidgall</t>
  </si>
  <si>
    <t>More Ready Than You Realize</t>
  </si>
  <si>
    <t>The Power of Everyday Conversations</t>
  </si>
  <si>
    <t>The Scandal of Forgiveness</t>
  </si>
  <si>
    <t>Grace Put to the Test</t>
  </si>
  <si>
    <t>BV4647.F55 Y36 2021eb</t>
  </si>
  <si>
    <t>Forgiveness--Religious aspects--Christianity.</t>
  </si>
  <si>
    <t>Satisfied</t>
  </si>
  <si>
    <t>Praying Circles Around the Lives of Your Children</t>
  </si>
  <si>
    <t>Praying Circles Around Your Future</t>
  </si>
  <si>
    <t>A Beautiful Arrangement</t>
  </si>
  <si>
    <t>Fit to Be Tied</t>
  </si>
  <si>
    <t>Barcelona Calling</t>
  </si>
  <si>
    <t>Jane Kirkpatrick</t>
  </si>
  <si>
    <t>The Five Silent Years of Corrie Ten Boom</t>
  </si>
  <si>
    <t>Pamela Rosewell Moore</t>
  </si>
  <si>
    <t>Jubilee Bride</t>
  </si>
  <si>
    <t>Leading Small Groups That Thrive</t>
  </si>
  <si>
    <t>Five Shifts to Take Your Group to the Next Level</t>
  </si>
  <si>
    <t>Christian leadership.,Church group work.,Group ministry.,Small groups--Religious aspects--Christianity.,Teams in the workplace.</t>
  </si>
  <si>
    <t>Ryan T. Hartwig-Courtney W. Davis-Jason A. Sniff</t>
  </si>
  <si>
    <t>The Blue Door</t>
  </si>
  <si>
    <t>Strong Through the Storm</t>
  </si>
  <si>
    <t>How to Be a Christian in the World Today</t>
  </si>
  <si>
    <t>The Man in the Mirror</t>
  </si>
  <si>
    <t>Solving the 24 Problems Men Face</t>
  </si>
  <si>
    <t>A Fierce Love</t>
  </si>
  <si>
    <t>One Womanâ€™s Courageous Journey to Save Her Marriage</t>
  </si>
  <si>
    <t>Shauna Shanks</t>
  </si>
  <si>
    <t>Nothing Wasted</t>
  </si>
  <si>
    <t>God Uses the Stuff You Wouldnâ€™t</t>
  </si>
  <si>
    <t>Kasey Van Norman</t>
  </si>
  <si>
    <t>Welcome Home</t>
  </si>
  <si>
    <t>A Cozy Minimalist Guide to Decorating and Hosting All Year Round</t>
  </si>
  <si>
    <t>The Coffee Corner</t>
  </si>
  <si>
    <t>False Friends and True Strangers</t>
  </si>
  <si>
    <t>Going All In</t>
  </si>
  <si>
    <t>One Decision Can Change Everything</t>
  </si>
  <si>
    <t>Code 13</t>
  </si>
  <si>
    <t>To Have and to Hold</t>
  </si>
  <si>
    <t>Three Autumn Love Stories</t>
  </si>
  <si>
    <t>Betsy St. Amant-Katie Ganshert-Becky Wade</t>
  </si>
  <si>
    <t>Know Doubt</t>
  </si>
  <si>
    <t>Embracing Uncertainty in Your Faith</t>
  </si>
  <si>
    <t>A Legacy of Love</t>
  </si>
  <si>
    <t>On the Victory Trail</t>
  </si>
  <si>
    <t>The Houston Crime Scene Collection</t>
  </si>
  <si>
    <t>The Chase, The Survivor</t>
  </si>
  <si>
    <t>More Than You Can Handle</t>
  </si>
  <si>
    <t>When Life's Overwhelming Pain Meets God's Overcoming Grace</t>
  </si>
  <si>
    <t>Ruby Slippers</t>
  </si>
  <si>
    <t>How the Soul of a Woman Brings Her Home</t>
  </si>
  <si>
    <t>Jonalyn Grace Fincher</t>
  </si>
  <si>
    <t>Before Another Dies</t>
  </si>
  <si>
    <t>Alton L. Gansky</t>
  </si>
  <si>
    <t>The Madison Glenn Series</t>
  </si>
  <si>
    <t>Weight of Shadows</t>
  </si>
  <si>
    <t>Hope When You're Hurting</t>
  </si>
  <si>
    <t>Answers to Four Questions Hurting People Ask</t>
  </si>
  <si>
    <t>Escape From the Drooling Octopod!</t>
  </si>
  <si>
    <t>Episode III</t>
  </si>
  <si>
    <t>The Heart's Pursuit</t>
  </si>
  <si>
    <t>The Courage to Love</t>
  </si>
  <si>
    <t>Season of Blessing</t>
  </si>
  <si>
    <t>Every Bitter Thing Is Sweet</t>
  </si>
  <si>
    <t>Tasting the Goodness of God in All Things</t>
  </si>
  <si>
    <t>God Above All</t>
  </si>
  <si>
    <t>90 Devotions to Know the Life-Altering Love of God</t>
  </si>
  <si>
    <t>God of All Things</t>
  </si>
  <si>
    <t>Rediscovering the Sacred in an Everyday World</t>
  </si>
  <si>
    <t>BT130</t>
  </si>
  <si>
    <t>Creation--Biblical teaching.,God (Christianity)--Attributes.,God (Christianity)--Omnipresence.</t>
  </si>
  <si>
    <t>Andrew Wilson</t>
  </si>
  <si>
    <t>Bread and Wine</t>
  </si>
  <si>
    <t>A Love Letter to Life Around the Table with Recipes</t>
  </si>
  <si>
    <t>The Better Mom</t>
  </si>
  <si>
    <t>Growing in Grace Between Perfection and the Mess</t>
  </si>
  <si>
    <t>Downfall</t>
  </si>
  <si>
    <t>The Kissing Bridge</t>
  </si>
  <si>
    <t>The Marriage Builder</t>
  </si>
  <si>
    <t>Creating True Oneness to Transform Your Marriage</t>
  </si>
  <si>
    <t>Trading Places</t>
  </si>
  <si>
    <t>The Secret to the Marriage You Want</t>
  </si>
  <si>
    <t>Faith Unraveled</t>
  </si>
  <si>
    <t>How a Girl Who Knew All the Answers Learned to Ask Questions</t>
  </si>
  <si>
    <t>Rachel Held Evans</t>
  </si>
  <si>
    <t>The Bake Shop</t>
  </si>
  <si>
    <t>Laurie Polich</t>
  </si>
  <si>
    <t>BS2665.52</t>
  </si>
  <si>
    <t>BS2725.52</t>
  </si>
  <si>
    <t>The Book of Revelation Made Clear</t>
  </si>
  <si>
    <t>Dan B. Allender, PLLC</t>
  </si>
  <si>
    <t>Faithful</t>
  </si>
  <si>
    <t>Revised and Updated Edition</t>
  </si>
  <si>
    <t>Revised and updated</t>
  </si>
  <si>
    <t>Psalms</t>
  </si>
  <si>
    <t>BS1430.2</t>
  </si>
  <si>
    <t>Leslie C. Allen</t>
  </si>
  <si>
    <t>Word Biblical Themes Ser</t>
  </si>
  <si>
    <t>Conformed to His Image, Revised Edition</t>
  </si>
  <si>
    <t>Biblical, Practical Approaches to Spiritual Formation</t>
  </si>
  <si>
    <t>BV4501.3 .B592 2020eb</t>
  </si>
  <si>
    <t>Spiritual life--Christianity.</t>
  </si>
  <si>
    <t>The New Testament in Antiquity, 2nd Edition</t>
  </si>
  <si>
    <t>A Survey of the New Testament Within Its Cultural Contexts</t>
  </si>
  <si>
    <t>BS2535.3</t>
  </si>
  <si>
    <t>Gary M. Burge-Gene L. Green</t>
  </si>
  <si>
    <t>Ecclesiastes, Song of Songs</t>
  </si>
  <si>
    <t>BS1475.53 .A84 2020eb</t>
  </si>
  <si>
    <t>George Athas</t>
  </si>
  <si>
    <t>How to Read Theology for All Its Worth</t>
  </si>
  <si>
    <t>A Guide for Students</t>
  </si>
  <si>
    <t>BV4020</t>
  </si>
  <si>
    <t>Theology, Doctrinal.,Theology--Methodology--Popular works.</t>
  </si>
  <si>
    <t>Karin Spiecker Stetina</t>
  </si>
  <si>
    <t>Micah-Malachi</t>
  </si>
  <si>
    <t>BS1560 .S66 1990</t>
  </si>
  <si>
    <t>Ralph Smith</t>
  </si>
  <si>
    <t>Word Biblical Themes</t>
  </si>
  <si>
    <t>Romansâ€“Galatians</t>
  </si>
  <si>
    <t>BS2341.53 .E96 2009eb</t>
  </si>
  <si>
    <t>The Expositor's Bible Commentary</t>
  </si>
  <si>
    <t>Living God's Word Workbook</t>
  </si>
  <si>
    <t>Discovering Our Place in the Great Story of Scripture</t>
  </si>
  <si>
    <t>Grasping God's Word, Fourth Edition</t>
  </si>
  <si>
    <t>A Hands-On Approach to Reading, Interpreting, and Applying the Bible</t>
  </si>
  <si>
    <t>BS476 .D88 2020eb</t>
  </si>
  <si>
    <t>Fourth edition</t>
  </si>
  <si>
    <t>BS1555.5 .G72 1989</t>
  </si>
  <si>
    <t>The Way of Worship</t>
  </si>
  <si>
    <t>A Guide to Living and Leading Authentic Worship</t>
  </si>
  <si>
    <t>BV10.3</t>
  </si>
  <si>
    <t>Public worship.</t>
  </si>
  <si>
    <t>Michael Neale-Vernon Whaley</t>
  </si>
  <si>
    <t>2 Peter-Jude</t>
  </si>
  <si>
    <t>RELIGION / Biblical Commentary / New Testament / General Epistles</t>
  </si>
  <si>
    <t>BS2795.53</t>
  </si>
  <si>
    <t>Dr. Richard Bauckham</t>
  </si>
  <si>
    <t>Quality Research Papers</t>
  </si>
  <si>
    <t>For Students of Religion and Theology</t>
  </si>
  <si>
    <t>LANGUAGE ARTS &amp; DISCIPLINES / Writing / Academic &amp; Scholarly</t>
  </si>
  <si>
    <t>BL41 .V94 2020eb</t>
  </si>
  <si>
    <t>Religion--Research.,Theology--Research.</t>
  </si>
  <si>
    <t>Nancy Jean Vyhmeister-Terry Dwain Robertson</t>
  </si>
  <si>
    <t>BS2675.53 .D54 2020eb</t>
  </si>
  <si>
    <t>Judith A. Diehl</t>
  </si>
  <si>
    <t>The Story of God Bible Commentary. New Testament Series</t>
  </si>
  <si>
    <t>Ezra-Nehemiah</t>
  </si>
  <si>
    <t>BS1355.53 .P48 2021</t>
  </si>
  <si>
    <t>Donna Petter-Thomas Petter</t>
  </si>
  <si>
    <t>The NIV Application Commentary</t>
  </si>
  <si>
    <t>Contemporary Theology: An Introduction, Revised Edition</t>
  </si>
  <si>
    <t>Classical, Evangelical, Philosophical, and Global Perspectives</t>
  </si>
  <si>
    <t>BR118</t>
  </si>
  <si>
    <t>Kirk R. MacGregor</t>
  </si>
  <si>
    <t>Joshua</t>
  </si>
  <si>
    <t>BS1295.53</t>
  </si>
  <si>
    <t>Trent C. Butler</t>
  </si>
  <si>
    <t>1 and 2 Kings</t>
  </si>
  <si>
    <t>BS1335.2 .H62 1989</t>
  </si>
  <si>
    <t>Dr, T. R. Hobbs</t>
  </si>
  <si>
    <t>BS2705.2</t>
  </si>
  <si>
    <t>Gerald F. Hawthorne</t>
  </si>
  <si>
    <t>1 and 2 Chronicles</t>
  </si>
  <si>
    <t>BS1345.54</t>
  </si>
  <si>
    <t>Dr. Roddy Braun</t>
  </si>
  <si>
    <t>Conformed to His Image Study Guide</t>
  </si>
  <si>
    <t>Kenneth D. Boa-Michael Stewart-Jenny Abel</t>
  </si>
  <si>
    <t>BS1515.2 .W38 1989</t>
  </si>
  <si>
    <t>John D. W. Watts</t>
  </si>
  <si>
    <t>BS2615.2 .Z66 2020</t>
  </si>
  <si>
    <t>George R. Beasley-Murray</t>
  </si>
  <si>
    <t>Four Portraits, One Jesus, 2nd Edition</t>
  </si>
  <si>
    <t>A Survey of Jesus and the Gospels</t>
  </si>
  <si>
    <t>BS2555.52</t>
  </si>
  <si>
    <t>Mark L. Strauss</t>
  </si>
  <si>
    <t>Judges, Ruth</t>
  </si>
  <si>
    <t>BS1305.3 .Y68 2020eb</t>
  </si>
  <si>
    <t>K. Lawson Younger</t>
  </si>
  <si>
    <t>Systematic Theology, Second Edition</t>
  </si>
  <si>
    <t>An Introduction to Biblical Doctrine</t>
  </si>
  <si>
    <t>BT75.3 .G78 2020eb</t>
  </si>
  <si>
    <t>Religion.,Theology, Doctrinal.,Theology, Doctrinal--History.</t>
  </si>
  <si>
    <t>Church History in Plain Language Workbook</t>
  </si>
  <si>
    <t>RELIGION / Christian Church / History</t>
  </si>
  <si>
    <t>BR150</t>
  </si>
  <si>
    <t>Church history.</t>
  </si>
  <si>
    <t>Bruce Shelley</t>
  </si>
  <si>
    <t>Fifth edition. revised by Marshall Shelley</t>
  </si>
  <si>
    <t>1 Peter</t>
  </si>
  <si>
    <t>BS2795.2 .M53 1989</t>
  </si>
  <si>
    <t>J. Ramsey Michaels</t>
  </si>
  <si>
    <t>BS2725.2 .M67 1989</t>
  </si>
  <si>
    <t>Leon Morris</t>
  </si>
  <si>
    <t>Evangelical Theology, Second Edition</t>
  </si>
  <si>
    <t>A Biblical and Systematic Introduction</t>
  </si>
  <si>
    <t>BR1640 .B527 2020</t>
  </si>
  <si>
    <t>Evangelicalism.,Theology, Doctrinal.</t>
  </si>
  <si>
    <t>Grasping God's Word Workbook, Fourth Edition</t>
  </si>
  <si>
    <t>Fourth Edition</t>
  </si>
  <si>
    <t>The Third Person of the Trinity</t>
  </si>
  <si>
    <t>Explorations in Constructive Dogmatics</t>
  </si>
  <si>
    <t>BT113</t>
  </si>
  <si>
    <t>Dogma--Congresses.,Holy Spirit--Congresses.,Theology, Doctrinal--Congresses.,Trinity--Congresses.</t>
  </si>
  <si>
    <t>Zondervan-Oliver D. Crisp-Fred Sanders</t>
  </si>
  <si>
    <t>Los Angeles Theology Conference Series</t>
  </si>
  <si>
    <t>RELIGION / Biblical Commentary / Old Testament / Pentateuch</t>
  </si>
  <si>
    <t>BS1245.53</t>
  </si>
  <si>
    <t>Dr. John I. Durham</t>
  </si>
  <si>
    <t>Living God's Word, Second Edition</t>
  </si>
  <si>
    <t>BS605.3 .D88 2021</t>
  </si>
  <si>
    <t>Understanding Old Testament Theology</t>
  </si>
  <si>
    <t>Mapping the Terrain of Recent Approaches</t>
  </si>
  <si>
    <t>BS1192.5 .K48 2020eb</t>
  </si>
  <si>
    <t>Brittany Kim-Charlie Trimm</t>
  </si>
  <si>
    <t>BS2585.53 .G688 2021eb</t>
  </si>
  <si>
    <t>Timothy G. Gombis</t>
  </si>
  <si>
    <t>Ruth, Esther</t>
  </si>
  <si>
    <t>BS1315.53 .T39 2020eb</t>
  </si>
  <si>
    <t>Marion Ann Taylor</t>
  </si>
  <si>
    <t>RELIGION / Biblical Commentary / New Testament / Revelation</t>
  </si>
  <si>
    <t>BS2825.53 .F36 2020eb</t>
  </si>
  <si>
    <t>Buist M. Fanning, III</t>
  </si>
  <si>
    <t>Zondervan Exegetical Commentary on the New Testament</t>
  </si>
  <si>
    <t>1 and 2 Corinthians</t>
  </si>
  <si>
    <t>BS2675.53</t>
  </si>
  <si>
    <t>Ralph P. Martin</t>
  </si>
  <si>
    <t>Systematic Theology Workbook</t>
  </si>
  <si>
    <t>Study Questions and Practical Exercises for Learning Biblical Doctrine</t>
  </si>
  <si>
    <t>BT75.2 .G78</t>
  </si>
  <si>
    <t>Wayne A. Grudem-Brianna Smith-Erik Thoennes</t>
  </si>
  <si>
    <t>Together</t>
  </si>
  <si>
    <t>BV2063</t>
  </si>
  <si>
    <t>Third Edition</t>
  </si>
  <si>
    <t>The Holy Spirit</t>
  </si>
  <si>
    <t>BUSINESS &amp; ECONOMICS / Management</t>
  </si>
  <si>
    <t>The Way of Worship Student Workbook</t>
  </si>
  <si>
    <t>A Hands-on Guide to Living and Leading Authentic Worship</t>
  </si>
  <si>
    <t>Christian leadership.,Clergy--Mental health.,Religious leaders--Mental health.</t>
  </si>
  <si>
    <t>Rich Van Pelt-Jim Hancock</t>
  </si>
  <si>
    <t>Christian leadership.,Leadership--Religious aspects--Christianity.</t>
  </si>
  <si>
    <t>BR115.P7</t>
  </si>
  <si>
    <t>Skye Jethani</t>
  </si>
  <si>
    <t>Bob Roberts Jr.</t>
  </si>
  <si>
    <t>Anne Miller</t>
  </si>
  <si>
    <t>Owen Strachan</t>
  </si>
  <si>
    <t>Darrell L. Bock</t>
  </si>
  <si>
    <t>BT704</t>
  </si>
  <si>
    <t>BIOGRAPHY &amp; AUTOBIOGRAPHY / Philosophers</t>
  </si>
  <si>
    <t>BV639.M56</t>
  </si>
  <si>
    <t>Nicholas Perrin</t>
  </si>
  <si>
    <t>BT123</t>
  </si>
  <si>
    <t>RELIGION / Comparative Religion</t>
  </si>
  <si>
    <t>BT301.3</t>
  </si>
  <si>
    <t>RELIGION / Faith</t>
  </si>
  <si>
    <t>Brandon Hatmaker</t>
  </si>
  <si>
    <t>BV825.3</t>
  </si>
  <si>
    <t>The Gospel According to Jesus</t>
  </si>
  <si>
    <t>Numbers</t>
  </si>
  <si>
    <t>BV4639</t>
  </si>
  <si>
    <t>BS480</t>
  </si>
  <si>
    <t>Christian women--Religious life.</t>
  </si>
  <si>
    <t>HEALTH &amp; FITNESS / Diseases &amp; Conditions / Alzheimer's &amp; Dementia</t>
  </si>
  <si>
    <t>BV4597.53.L43</t>
  </si>
  <si>
    <t>BR127</t>
  </si>
  <si>
    <t>Larry Osborne</t>
  </si>
  <si>
    <t>HF5388</t>
  </si>
  <si>
    <t>Paul and the Hope of Glory</t>
  </si>
  <si>
    <t>An Exegetical and Theological Study</t>
  </si>
  <si>
    <t>Constantine R. Campbell</t>
  </si>
  <si>
    <t>The History of Apologetics</t>
  </si>
  <si>
    <t>A Biographical and Methodological Introduction</t>
  </si>
  <si>
    <t>BT1109</t>
  </si>
  <si>
    <t>Apologetics--Biography.,Apologetics--History.</t>
  </si>
  <si>
    <t>Zondervan-Benjamin K. Forrest-Josh Chatraw-Alister E. McGrath</t>
  </si>
  <si>
    <t>Word Biblical Themes Collection</t>
  </si>
  <si>
    <t>15-Volume Set</t>
  </si>
  <si>
    <t>BS482</t>
  </si>
  <si>
    <t>Leslie C. Allen-Dr. Richard Bauckham-George R. Beasley-Murray-Dr. Roddy Braun-Trent C. Butler-Dr. John I. Durham-Dr. John Goldingay-Gerald F. Hawthorne-Dr, T. R. Hobbs-J. Ramsey Michaels-Leon Morris-Ralph Smith-Douglas Stuart-John D. W. Watts-Ralph P. Martin</t>
  </si>
  <si>
    <t>Confronting Injustice Without Compromising Truth</t>
  </si>
  <si>
    <t>12 Questions Christians Should Ask About Social Justice</t>
  </si>
  <si>
    <t>Christianity and justice.,Social justice--Religious aspects--Christianity.</t>
  </si>
  <si>
    <t>The Quran with Christian Commentary</t>
  </si>
  <si>
    <t>A Guide to Understanding the Scripture of Islam</t>
  </si>
  <si>
    <t>RELIGION / Islam / Koran &amp; Sacred Writings</t>
  </si>
  <si>
    <t>Gordon D. Nickel</t>
  </si>
  <si>
    <t>Basics of Latin</t>
  </si>
  <si>
    <t>A Grammar with Readings and Exercises From the Christian Tradition</t>
  </si>
  <si>
    <t>FOREIGN LANGUAGE STUDY / Latin</t>
  </si>
  <si>
    <t>Derek Cooper</t>
  </si>
  <si>
    <t>Politics After Christendom</t>
  </si>
  <si>
    <t>Political Theology in a Fractured World</t>
  </si>
  <si>
    <t>Christianity and politics.,Political theology.</t>
  </si>
  <si>
    <t>David VanDrunen</t>
  </si>
  <si>
    <t>The Global Church---The First Eight Centuries</t>
  </si>
  <si>
    <t>From Pentecost Through the Rise of Islam</t>
  </si>
  <si>
    <t>BR165 .F35 2021eb</t>
  </si>
  <si>
    <t>Church history--Primitive and early church, ca. 30-600.</t>
  </si>
  <si>
    <t>Donald Fairbairn</t>
  </si>
  <si>
    <t>Theological Ethics</t>
  </si>
  <si>
    <t>The Moral Life of the Gospel in Contemporary Context</t>
  </si>
  <si>
    <t>BJ1251</t>
  </si>
  <si>
    <t>Christian ethics.</t>
  </si>
  <si>
    <t>W. Ross Hastings</t>
  </si>
  <si>
    <t>An Introduction to Biblical Greek Grammar</t>
  </si>
  <si>
    <t>Dana M. Harris</t>
  </si>
  <si>
    <t>Handbook of Reading Theological German</t>
  </si>
  <si>
    <t>PF3111 .J664 2021</t>
  </si>
  <si>
    <t>German language--Readers--Theology.,German language--Terms and phrases.,German language--Textbooks for foreign speakers--English.</t>
  </si>
  <si>
    <t>Christopher Ryan Jones-Katharina Hirt</t>
  </si>
  <si>
    <t>Three Views on Christianity and Science</t>
  </si>
  <si>
    <t>BL240.3</t>
  </si>
  <si>
    <t>Religion and science.</t>
  </si>
  <si>
    <t>Counterpoints</t>
  </si>
  <si>
    <t>Hosea-Jonah</t>
  </si>
  <si>
    <t>Douglas Stuart</t>
  </si>
  <si>
    <t>Wisdom-Based Business</t>
  </si>
  <si>
    <t>Applying Biblical Principles and Evidence-Based Research for a Purposeful and Profitable Business</t>
  </si>
  <si>
    <t>Business--Religious aspects--Christianity.,Wisdom--Biblical teaching.</t>
  </si>
  <si>
    <t>Hannah J. Stolze</t>
  </si>
  <si>
    <t>Five Views on the Exodus</t>
  </si>
  <si>
    <t>Historicity, Chronology, and Theological Implications</t>
  </si>
  <si>
    <t>BS680.E9</t>
  </si>
  <si>
    <t>Exodus, The--History of doctrines.,Jews--History--To 1200 B.C.</t>
  </si>
  <si>
    <t>Counterpoints. Bible and Theology</t>
  </si>
  <si>
    <t>An Introduction to Christian Philosophical Theology</t>
  </si>
  <si>
    <t>Faith Seeking Understanding</t>
  </si>
  <si>
    <t>BT40 .D28 2020eb</t>
  </si>
  <si>
    <t>Christianity--Philosophy.,Philosophical theology.,Theology, Doctrinal.</t>
  </si>
  <si>
    <t>Stephen T. Davis-Eric T. Yang</t>
  </si>
  <si>
    <t>Stephen M. Miller</t>
  </si>
  <si>
    <t>Mark Driscoll</t>
  </si>
  <si>
    <t>HF5387</t>
  </si>
  <si>
    <t>Creative ability in business.,Leadership.</t>
  </si>
  <si>
    <t>The Kingdom of God</t>
  </si>
  <si>
    <t>BS2589</t>
  </si>
  <si>
    <t>RELIGION / Christianity / Church of Jesus Christ of Latter-day Saints (Mormon)</t>
  </si>
  <si>
    <t>SELF-HELP / Anxieties &amp; Phobias</t>
  </si>
  <si>
    <t>How the Bible Was Formed</t>
  </si>
  <si>
    <t>A Zondervan Digital Short</t>
  </si>
  <si>
    <t>RELIGION / Christian Theology / History</t>
  </si>
  <si>
    <t>BS475.3</t>
  </si>
  <si>
    <t>Gregg Allison</t>
  </si>
  <si>
    <t>A History of Worship</t>
  </si>
  <si>
    <t>S.H.A.P.E.</t>
  </si>
  <si>
    <t>Finding and Fulfilling Your Unique Purpose for Life</t>
  </si>
  <si>
    <t>Erik Rees</t>
  </si>
  <si>
    <t>A Survey of the Old Testament</t>
  </si>
  <si>
    <t>RELIGION / Biblical Criticism &amp; Interpretation / Old Testament</t>
  </si>
  <si>
    <t>BS1140.2 .H54 2017eb</t>
  </si>
  <si>
    <t>Andrew E. Hill-John H. Walton</t>
  </si>
  <si>
    <t>Third edition</t>
  </si>
  <si>
    <t>The Will of God As a Way of Life</t>
  </si>
  <si>
    <t>How to Make Every Decision with Peace and Confidence</t>
  </si>
  <si>
    <t>BS1255.53</t>
  </si>
  <si>
    <t>Jerry E. Shepherd</t>
  </si>
  <si>
    <t>BS1245.53 .W75 2021eb</t>
  </si>
  <si>
    <t>Christopher J. H. Wright</t>
  </si>
  <si>
    <t>Story of God Bible Commentary</t>
  </si>
  <si>
    <t>Four Portraits, One Jesus Workbook</t>
  </si>
  <si>
    <t>Guided Reading Projects and Exercises in the Gospels</t>
  </si>
  <si>
    <t>The New Testament in Its World</t>
  </si>
  <si>
    <t>An Introduction to the History, Literature, and Theology of the First Christians</t>
  </si>
  <si>
    <t>BS2330.3 .W753 2019eb</t>
  </si>
  <si>
    <t>Church history--ca. 30-100.</t>
  </si>
  <si>
    <t>African Christian Theology</t>
  </si>
  <si>
    <t>BT30.A35</t>
  </si>
  <si>
    <t>Theology, Doctrinal--Africa.</t>
  </si>
  <si>
    <t>Samuel Waje Kunhiyop</t>
  </si>
  <si>
    <t>African Christian Ethics</t>
  </si>
  <si>
    <t>BR1360</t>
  </si>
  <si>
    <t>Christian ethics--Africa.,Ethics--Religious aspects--Christianity.</t>
  </si>
  <si>
    <t>A Guide to Interpreting Scripture</t>
  </si>
  <si>
    <t>Context, Harmony, and Application</t>
  </si>
  <si>
    <t>Michael Kyomya</t>
  </si>
  <si>
    <t>Zondervan Handbook to the Bible</t>
  </si>
  <si>
    <t>Fifth Edition</t>
  </si>
  <si>
    <t>BS417</t>
  </si>
  <si>
    <t>Fifth edition</t>
  </si>
  <si>
    <t>Basics of Biblical Greek Workbook</t>
  </si>
  <si>
    <t>Greek language, Biblical--Grammar--Problems, exercises, etc.</t>
  </si>
  <si>
    <t>Zondervan Language Basics Series</t>
  </si>
  <si>
    <t>Basics of Biblical Greek Grammar</t>
  </si>
  <si>
    <t>Language and languages--Study and teaching.</t>
  </si>
  <si>
    <t>A Survey of the New Testament Laminated Sheet</t>
  </si>
  <si>
    <t>Robert H. Gundry</t>
  </si>
  <si>
    <t>Zondervan Get an A! Study Guides</t>
  </si>
  <si>
    <t>Zondervan Critical Introductions to the New Testament</t>
  </si>
  <si>
    <t>The Expositor's Bible Commentary - Abridged Edition: Two-Volume Set</t>
  </si>
  <si>
    <t>RELIGION / Biblical Commentary / General</t>
  </si>
  <si>
    <t>BS491.2</t>
  </si>
  <si>
    <t>Kenneth L. Barker-John R. Kohlenberger III</t>
  </si>
  <si>
    <t>The Expositor's Bible Commentary Ser</t>
  </si>
  <si>
    <t>Daniel, Volume 30</t>
  </si>
  <si>
    <t>BS1555.5 .G65 2019</t>
  </si>
  <si>
    <t>Dr. John Goldingay-Nancy L. deClaisse-Walford-Peter H. Davids</t>
  </si>
  <si>
    <t>Word Biblical Commentary</t>
  </si>
  <si>
    <t>BS2625.53</t>
  </si>
  <si>
    <t>Dean Pinter</t>
  </si>
  <si>
    <t>BS1295.53 .W729 2019eb</t>
  </si>
  <si>
    <t>Lissa Wray Beal</t>
  </si>
  <si>
    <t>The Story of God Bible Commentary Ser</t>
  </si>
  <si>
    <t>Devotions on the Hebrew Bible</t>
  </si>
  <si>
    <t>54 Reflections to Inspire and Instruct</t>
  </si>
  <si>
    <t>BS718</t>
  </si>
  <si>
    <t>Greek for the Rest of Us Laminated Sheet</t>
  </si>
  <si>
    <t>Greek language, Biblical--Grammar.,Religion.</t>
  </si>
  <si>
    <t>Grasping God's Word Laminated Sheet</t>
  </si>
  <si>
    <t>A Survey of the Old Testament Laminated Sheet</t>
  </si>
  <si>
    <t>BS1140.2</t>
  </si>
  <si>
    <t>John H. Walton</t>
  </si>
  <si>
    <t>America's Religious History</t>
  </si>
  <si>
    <t>Faith, Politics, and the Shaping of a Nation</t>
  </si>
  <si>
    <t>BR515</t>
  </si>
  <si>
    <t>Thomas S. Kidd</t>
  </si>
  <si>
    <t>Do Christians, Muslims, and Jews Worship the Same God?: Four Views</t>
  </si>
  <si>
    <t>BL473</t>
  </si>
  <si>
    <t>Abrahamic religions.,Christianity and other religions.,God.</t>
  </si>
  <si>
    <t>Jesus, Skepticism, and the Problem of History</t>
  </si>
  <si>
    <t>Criteria and Context in the Study of Christian Origins</t>
  </si>
  <si>
    <t>BT303.2 .J469 2019</t>
  </si>
  <si>
    <t>Zondervan-Darrell L. Bock-J. Ed Komoszewski</t>
  </si>
  <si>
    <t>The New Testament in Its World Workbook</t>
  </si>
  <si>
    <t>BS2330.3</t>
  </si>
  <si>
    <t>Church history--ca. 30-100--Problems, exercises, etc.</t>
  </si>
  <si>
    <t>Divine Action and Providence</t>
  </si>
  <si>
    <t>BT135 .D58 2019eb</t>
  </si>
  <si>
    <t>Providence and government of God--Christianity--Congresses.</t>
  </si>
  <si>
    <t>Proceedings of the Los Angeles Theology Conference</t>
  </si>
  <si>
    <t>A Guide to Theological Reflection</t>
  </si>
  <si>
    <t>A Fresh Approach for Practical Ministry Courses and Theological Field Education</t>
  </si>
  <si>
    <t>Jim Wilson-Earl Waggoner</t>
  </si>
  <si>
    <t>New Testament Greek Syntax Laminated Sheet</t>
  </si>
  <si>
    <t>PA851 .W343 2019eb</t>
  </si>
  <si>
    <t>Greek language, Biblical--Grammar.,Greek language, Biblical--Syntax.</t>
  </si>
  <si>
    <t>Daniel B. Wallace</t>
  </si>
  <si>
    <t>Zondervan Essential Companion to Christian History</t>
  </si>
  <si>
    <t>BR145.3</t>
  </si>
  <si>
    <t>Stephen Backhouse</t>
  </si>
  <si>
    <t>A Practical Primer on Theological Method</t>
  </si>
  <si>
    <t>Table Manners for Discussing God, His Works, and His Ways</t>
  </si>
  <si>
    <t>God (Christianity),Hermeneutics--Religious aspects--Christianity.,Theology--Methodology.</t>
  </si>
  <si>
    <t>Glenn R. Kreider-Michael J. Svigel</t>
  </si>
  <si>
    <t>Reading Revelation in Context</t>
  </si>
  <si>
    <t>John's Apocalypse and Second Temple Judaism</t>
  </si>
  <si>
    <t>BS2825.6.J44</t>
  </si>
  <si>
    <t>Christianity and other religions--Judaism--Biblical teaching.,Jewish religious literature.,Judaism--Christianity--Relations--Biblical teaching.</t>
  </si>
  <si>
    <t>Zondervan-Ben C. Blackwell-John K. Goodrich-Jason Maston</t>
  </si>
  <si>
    <t>The Most Significant Teachings in the Bible</t>
  </si>
  <si>
    <t>Cultural Engagement</t>
  </si>
  <si>
    <t>A Crash Course in Contemporary Issues</t>
  </si>
  <si>
    <t>Christianity and culture.</t>
  </si>
  <si>
    <t>Josh Chatraw-Karen Swallow Prior</t>
  </si>
  <si>
    <t>Volume 2A</t>
  </si>
  <si>
    <t>BS2615.53 .K44 2019eb</t>
  </si>
  <si>
    <t>Craig S. Keener</t>
  </si>
  <si>
    <t>Zondervan Illustrated Bible Backgrounds Commentary</t>
  </si>
  <si>
    <t>The Mosaic of Atonement</t>
  </si>
  <si>
    <t>An Integrated Approach to Christ's Work</t>
  </si>
  <si>
    <t>BT265.3 .M36 2019</t>
  </si>
  <si>
    <t>Atonement--Biblical teaching.,Atonement--History of doctrines.,Religion.</t>
  </si>
  <si>
    <t>Joshua M. McNall</t>
  </si>
  <si>
    <t>Engaging Theology</t>
  </si>
  <si>
    <t>A Biblical, Historical, and Practical Introduction</t>
  </si>
  <si>
    <t>BT65</t>
  </si>
  <si>
    <t>Christianity--Essence, genius, nature.,Theology, Doctrinal--Introductions.</t>
  </si>
  <si>
    <t>Ben C. Blackwell-R.L. Hatchett</t>
  </si>
  <si>
    <t>The Fool and the Heretic</t>
  </si>
  <si>
    <t>How Two Scientists Moved Beyond Labels to a Christian Dialogue About Creation and Evolution</t>
  </si>
  <si>
    <t>BS659</t>
  </si>
  <si>
    <t>Todd Charles Wood-Darrel R. Falk</t>
  </si>
  <si>
    <t>Encountering World Religions</t>
  </si>
  <si>
    <t>A Christian Introduction</t>
  </si>
  <si>
    <t>BR127 .H49 2019</t>
  </si>
  <si>
    <t>Christianity and other religions.,Religion.</t>
  </si>
  <si>
    <t>Irving Hexham</t>
  </si>
  <si>
    <t>Arabic Christian Theology</t>
  </si>
  <si>
    <t>A Contemporary Global Evangelical Perspective</t>
  </si>
  <si>
    <t>BR1070</t>
  </si>
  <si>
    <t>Christianity--Middle East.,Christianity--Middle East--21st century.</t>
  </si>
  <si>
    <t>The Assurance of Salvation</t>
  </si>
  <si>
    <t>Biblical Hope for Our Struggles</t>
  </si>
  <si>
    <t>BT785</t>
  </si>
  <si>
    <t>Assurance (Theology),Salvation--Biblical teaching.</t>
  </si>
  <si>
    <t>A Biblical Theology</t>
  </si>
  <si>
    <t>BS543</t>
  </si>
  <si>
    <t>Kingdom of God--Biblical teaching.,Theology, Doctrinal.</t>
  </si>
  <si>
    <t>Biblical Theology for Life</t>
  </si>
  <si>
    <t>Biblical Greek: A Compact Guide</t>
  </si>
  <si>
    <t>PA817 .M645 2019eb</t>
  </si>
  <si>
    <t>Greek language, Biblical--Grammar--Outlines, syllabi, etc.,Language and languages--Study and teaching.</t>
  </si>
  <si>
    <t>Zondervan Language Basics</t>
  </si>
  <si>
    <t>Cultural Apologetics</t>
  </si>
  <si>
    <t>Renewing the Christian Voice, Conscience, and Imagination in a Disenchanted World</t>
  </si>
  <si>
    <t>Paul M. Gould</t>
  </si>
  <si>
    <t>Five Views on the Extent of the Atonement</t>
  </si>
  <si>
    <t>BT267</t>
  </si>
  <si>
    <t>Atonement.,Theology, Doctrinal.</t>
  </si>
  <si>
    <t>Counterpoints Series: Bible and Theology</t>
  </si>
  <si>
    <t>Four Portraits, One Jesus Laminated Sheet</t>
  </si>
  <si>
    <t>Bible Doctrine Laminated Sheet</t>
  </si>
  <si>
    <t>Wayne A. Grudem-Erik Thoennes</t>
  </si>
  <si>
    <t>My Neighbour's Faith</t>
  </si>
  <si>
    <t>Islam Explained for Christians</t>
  </si>
  <si>
    <t>BP172</t>
  </si>
  <si>
    <t>John Azumah</t>
  </si>
  <si>
    <t>Zondervan 2020 Church and Nonprofit Tax and Financial Guide</t>
  </si>
  <si>
    <t>For 2019 Tax Returns</t>
  </si>
  <si>
    <t>KF6449.C5</t>
  </si>
  <si>
    <t>Dan Busby-Michael Martin</t>
  </si>
  <si>
    <t>Zondervan 2020 Minister's Tax and Financial Guide</t>
  </si>
  <si>
    <t>Tactics, 10th Anniversary Edition</t>
  </si>
  <si>
    <t>A Game Plan for Discussing Your Christian Convictions</t>
  </si>
  <si>
    <t>BT1103 .K68 2019eb</t>
  </si>
  <si>
    <t>Apologetics.,Witness bearing (Christianity)</t>
  </si>
  <si>
    <t>Updated and expanded</t>
  </si>
  <si>
    <t>The Zondervan 2020 Pastor's Annual</t>
  </si>
  <si>
    <t>What's Best Next Study Guide</t>
  </si>
  <si>
    <t>How the Gospel Transforms the Way You Get Things Done</t>
  </si>
  <si>
    <t>Matt Perman</t>
  </si>
  <si>
    <t>The Gospel-Driven Church</t>
  </si>
  <si>
    <t>Uniting Church Growth Dreams with the Metrics of Grace</t>
  </si>
  <si>
    <t>Healing Together</t>
  </si>
  <si>
    <t>A Guide to Supporting Sexual Abuse Survivors</t>
  </si>
  <si>
    <t>HV6570</t>
  </si>
  <si>
    <t>Child sexual abuse.</t>
  </si>
  <si>
    <t>Unfailing</t>
  </si>
  <si>
    <t>Standing Strong on God's Promises in the Uncertainties of Life</t>
  </si>
  <si>
    <t>Rob Renfroe</t>
  </si>
  <si>
    <t>Searching for God Study Guide</t>
  </si>
  <si>
    <t>Is There Any Reason to Believe in God Today?</t>
  </si>
  <si>
    <t>Holly Lazzaro</t>
  </si>
  <si>
    <t>How to Lead in a World of Distraction</t>
  </si>
  <si>
    <t>Four Simple Habits for Turning Down the Noise</t>
  </si>
  <si>
    <t>Finding Quiet</t>
  </si>
  <si>
    <t>My Story of Overcoming Anxiety and the Practices That Brought Peace</t>
  </si>
  <si>
    <t>BV4908.5 .M67 2019eb</t>
  </si>
  <si>
    <t>Anxiety.,Anxiety--Religious aspects--Christianity.</t>
  </si>
  <si>
    <t>Costly Obedience</t>
  </si>
  <si>
    <t>What We Can Learn From the Celibate Gay Christian Community</t>
  </si>
  <si>
    <t>Christian ethics.,Christian gays.,Gays--Religious life.</t>
  </si>
  <si>
    <t>Mark A. Yarhouse</t>
  </si>
  <si>
    <t>The Honest Guide to Church Planting</t>
  </si>
  <si>
    <t>What No One Ever Tells You About Planting and Leading a New Church</t>
  </si>
  <si>
    <t>BV652.24</t>
  </si>
  <si>
    <t>Church development, New.</t>
  </si>
  <si>
    <t>Tom Bennardo</t>
  </si>
  <si>
    <t>Find Your Place</t>
  </si>
  <si>
    <t>Locating Your Calling Through Your Gifts, Passions, and Story</t>
  </si>
  <si>
    <t>Rob Wegner-Brian Phipps</t>
  </si>
  <si>
    <t>Liquid Church</t>
  </si>
  <si>
    <t>6 Powerful Currents to Saturate Your City for Christ</t>
  </si>
  <si>
    <t>Tim Lucas-Warren Bird</t>
  </si>
  <si>
    <t>Marks of a Movement</t>
  </si>
  <si>
    <t>What the Church Today Can Learn From the Wesleyan Revival</t>
  </si>
  <si>
    <t>BX8349.C58 B48 2019eb</t>
  </si>
  <si>
    <t>Church development, New.,Church growth.,Evangelistic work.,Methodism.</t>
  </si>
  <si>
    <t>Winfield Bevins</t>
  </si>
  <si>
    <t>No Is a Beautiful Word</t>
  </si>
  <si>
    <t>Hope and Help for the Overcommitted and (Occasionally) Exhausted</t>
  </si>
  <si>
    <t>BV4598.5</t>
  </si>
  <si>
    <t>Scheduling.,Time management.,Time management--Religious aspects--Christianity.</t>
  </si>
  <si>
    <t>Seek First</t>
  </si>
  <si>
    <t>How the Kindgom of God Changes Everything</t>
  </si>
  <si>
    <t>BT94</t>
  </si>
  <si>
    <t>Jeremy R. Treat</t>
  </si>
  <si>
    <t>Counsel for Couples</t>
  </si>
  <si>
    <t>A Biblical and Practical Guide for Marriage Counseling</t>
  </si>
  <si>
    <t>Church work with married people.,Marriage counseling.,Marriage--Religious aspects--Christianity.,Pastoral counseling.</t>
  </si>
  <si>
    <t>Jonathan D. Holmes</t>
  </si>
  <si>
    <t>Ever Ancient, Ever New</t>
  </si>
  <si>
    <t>The Allure of Liturgy for a New Generation</t>
  </si>
  <si>
    <t>Generation Y--Religious life.,Public worship.,Ritual.</t>
  </si>
  <si>
    <t>Budgeting for a Healthy Church</t>
  </si>
  <si>
    <t>Aligning Finances with Biblical Priorities for Ministry</t>
  </si>
  <si>
    <t>BV770</t>
  </si>
  <si>
    <t>Budget.,Church finance.</t>
  </si>
  <si>
    <t>Jamie Dunlop</t>
  </si>
  <si>
    <t>9Marks</t>
  </si>
  <si>
    <t>What Is Theology?</t>
  </si>
  <si>
    <t>Union with Christ</t>
  </si>
  <si>
    <t>Reformed Church--Doctrines.,Theology, Doctrinal.</t>
  </si>
  <si>
    <t>The Kingdom and the Church</t>
  </si>
  <si>
    <t>Pastoral theology.</t>
  </si>
  <si>
    <t>Brad Densmore</t>
  </si>
  <si>
    <t>Discipling (Christianity),Evangelistic work.</t>
  </si>
  <si>
    <t>BV4211.2</t>
  </si>
  <si>
    <t>Pastoral counseling.,Religion.</t>
  </si>
  <si>
    <t>BV639.C4</t>
  </si>
  <si>
    <t>Church work with children.</t>
  </si>
  <si>
    <t>RELIGION / Cults</t>
  </si>
  <si>
    <t>Seeking Allah, Finding Jesus</t>
  </si>
  <si>
    <t>A Devout Muslim Encounters Christianity</t>
  </si>
  <si>
    <t>BV2626.4.Q74</t>
  </si>
  <si>
    <t>Christian converts from Islam--Biography.</t>
  </si>
  <si>
    <t>Nabeel Qureshi</t>
  </si>
  <si>
    <t>Zondervan 2018 Minister's Tax and Financial Guide</t>
  </si>
  <si>
    <t>For 2017 Tax Returns</t>
  </si>
  <si>
    <t>Dan Busby-Michael Martin-John Van Drunen</t>
  </si>
  <si>
    <t>Your Church Is Too Small</t>
  </si>
  <si>
    <t>Why Unity in Christ's Mission Is Vital to the Future of the Church</t>
  </si>
  <si>
    <t>John H. Armstrong</t>
  </si>
  <si>
    <t>Grasping God's Word</t>
  </si>
  <si>
    <t>BS476 .D88 2012eb</t>
  </si>
  <si>
    <t>3rd ed</t>
  </si>
  <si>
    <t>Psalms, Proverbs, Ecclesiastes, and Song of Songs</t>
  </si>
  <si>
    <t>BS1405.53</t>
  </si>
  <si>
    <t>John Hilber-Tremper Longman III-Duane Garrett</t>
  </si>
  <si>
    <t>Zondervan Illustrated Bible Background Commentary</t>
  </si>
  <si>
    <t>Introducing the New Testament</t>
  </si>
  <si>
    <t>A Short Guide to Its History and Message</t>
  </si>
  <si>
    <t>BS2330.3 .C37 2010</t>
  </si>
  <si>
    <t>D. A. Carson-Douglas J. Moo-Andrew David Naselli</t>
  </si>
  <si>
    <t>Introducing the Old Testament</t>
  </si>
  <si>
    <t>BS1140.3</t>
  </si>
  <si>
    <t>Tremper Longman III</t>
  </si>
  <si>
    <t>Determined to Believe?</t>
  </si>
  <si>
    <t>The Sovereignty of God, Freedom, Faith, and Human Responsibility</t>
  </si>
  <si>
    <t>PHILOSOPHY / Free Will &amp; Determinism</t>
  </si>
  <si>
    <t>BT810.3</t>
  </si>
  <si>
    <t>Free will and determinism--Religious aspects--Christianity.,Providence and government of God--Christianity.</t>
  </si>
  <si>
    <t>Introducing Jesus</t>
  </si>
  <si>
    <t>A Short Guide to the Gospels' History and Message</t>
  </si>
  <si>
    <t>The Christian Doctrine of Humanity</t>
  </si>
  <si>
    <t>BT701.3 .L674 2018</t>
  </si>
  <si>
    <t>Theological anthropology--Christianity--Congresses.</t>
  </si>
  <si>
    <t>BV2626.4.Q74 Q74 2018</t>
  </si>
  <si>
    <t>Third edition with bonus content, new reflections</t>
  </si>
  <si>
    <t>Saving Truth Study Guide</t>
  </si>
  <si>
    <t>Finding Meaning and Clarity in a Post-Truth World</t>
  </si>
  <si>
    <t>BT50</t>
  </si>
  <si>
    <t>Postmodernism--Religious aspects--Christianity.,Truth--Religious aspects--Christianity.</t>
  </si>
  <si>
    <t>Abdu Murray</t>
  </si>
  <si>
    <t>Organic Outreach for Ordinary People</t>
  </si>
  <si>
    <t>Sharing Good News Naturally</t>
  </si>
  <si>
    <t>Organic Outreach for Churches</t>
  </si>
  <si>
    <t>Infusing Evangelistic Passion in Your Local Congregation</t>
  </si>
  <si>
    <t>BV652.25</t>
  </si>
  <si>
    <t>Church development, New.,Church growth.,Evangelistic work.</t>
  </si>
  <si>
    <t>1-2 Samuel</t>
  </si>
  <si>
    <t>BS1325.53</t>
  </si>
  <si>
    <t>Paul Evans</t>
  </si>
  <si>
    <t>Reading Mark in Context</t>
  </si>
  <si>
    <t>Jesus and Second Temple Judaism</t>
  </si>
  <si>
    <t>BS2585.52 .R425 2018eb</t>
  </si>
  <si>
    <t>Judaism--History--Post-exilic period, 586 B.C.-210 A.D.</t>
  </si>
  <si>
    <t>The Blue Parakeet, 2nd Edition</t>
  </si>
  <si>
    <t>Rethinking How You Read the Bible</t>
  </si>
  <si>
    <t>Luke 18:35-24:53, Volume 35C</t>
  </si>
  <si>
    <t>RELIGION / Biblical Commentary / New Testament / General</t>
  </si>
  <si>
    <t>BS2595.53</t>
  </si>
  <si>
    <t>John Nolland</t>
  </si>
  <si>
    <t>BS2665.53 .T44 2018eb</t>
  </si>
  <si>
    <t>Frank S. Thielman</t>
  </si>
  <si>
    <t>Psalms, Volume 2</t>
  </si>
  <si>
    <t>BS1430.53</t>
  </si>
  <si>
    <t>W. Dennis Tucker, Jr.-Jamie A. Grant</t>
  </si>
  <si>
    <t>Paul D. Gardner</t>
  </si>
  <si>
    <t>Zondervan Exegetical Commentary on the New Testament / Clinton E. Arnold, General Editor</t>
  </si>
  <si>
    <t>The 1 and 2 Thessalonians Commentary Collection</t>
  </si>
  <si>
    <t>An All-In-One Commentary Collection for Studying the Books of 1 and 2 Thessalonians</t>
  </si>
  <si>
    <t>Michael W. Holmes-Gary Shogren-John Byron</t>
  </si>
  <si>
    <t>Introduction to Biblical Interpretation</t>
  </si>
  <si>
    <t>3rd Edition</t>
  </si>
  <si>
    <t>BS476 .K545 2017eb</t>
  </si>
  <si>
    <t>William W. Klein-Craig L. Blomberg-Robert L. Hubbard, Jr.</t>
  </si>
  <si>
    <t>Luke 9:21-18:34, Volume 35B</t>
  </si>
  <si>
    <t>BS491.2 .W67 1982 v.35B</t>
  </si>
  <si>
    <t>2 Chronicles, Volume 15</t>
  </si>
  <si>
    <t>BS1345.3 .D54 2018eb</t>
  </si>
  <si>
    <t>Raymond B. Dillard</t>
  </si>
  <si>
    <t>Chronological and Background Charts of the Old Testament</t>
  </si>
  <si>
    <t>BS637.2 .W36 1994eb</t>
  </si>
  <si>
    <t>ZondervanCharts Ser</t>
  </si>
  <si>
    <t>2nd ed</t>
  </si>
  <si>
    <t>How to Read the Bible for All Its Worth</t>
  </si>
  <si>
    <t>BS600.3 .F44 2003eb</t>
  </si>
  <si>
    <t>Gordon D. Fee-Douglas Stuart</t>
  </si>
  <si>
    <t>A Survey of the New Testament</t>
  </si>
  <si>
    <t>5th Edition</t>
  </si>
  <si>
    <t>Grasping God's Word Workbook</t>
  </si>
  <si>
    <t>3rd Edition Workbook</t>
  </si>
  <si>
    <t>Theology of the New Testament</t>
  </si>
  <si>
    <t>A Canonical and Synthetic Approach</t>
  </si>
  <si>
    <t>BS2397 .T445 2005</t>
  </si>
  <si>
    <t>An Old Testament Theology</t>
  </si>
  <si>
    <t>An Exegetical, Canonical, and Thematic Approach</t>
  </si>
  <si>
    <t>BS1192.5.W35 2006</t>
  </si>
  <si>
    <t>Bruce K. Waltke-Charles Yu</t>
  </si>
  <si>
    <t>A Survey of the Old Testament Workbook</t>
  </si>
  <si>
    <t>BS1140.2 .H54 2009eb</t>
  </si>
  <si>
    <t>Andrew E. Hill-John H. Walton-Jennifer M. Hale</t>
  </si>
  <si>
    <t>Charts of Christian Theology and Doctrine</t>
  </si>
  <si>
    <t>BT77.3 .H68 2019eb</t>
  </si>
  <si>
    <t>Theology, Doctrinal--Outlines, syllabi, etc.</t>
  </si>
  <si>
    <t>H. Wayne House</t>
  </si>
  <si>
    <t>Interpreting the Old Testament Theologically</t>
  </si>
  <si>
    <t>Essays in Honor of Willem A. VanGemeren</t>
  </si>
  <si>
    <t>BS1192.5</t>
  </si>
  <si>
    <t>Andrew T. Abernethy</t>
  </si>
  <si>
    <t>The Zondervan 2019 Pastor's Annual</t>
  </si>
  <si>
    <t>A Legacy of Preaching: Two-Volume Set---Apostles to the Present Day</t>
  </si>
  <si>
    <t>The Life, Theology, and Method of Historyâ€™s Great Preachers</t>
  </si>
  <si>
    <t>BV4207</t>
  </si>
  <si>
    <t>Zondervan-Benjamin K. Forrest-Kevin King Sr.-Dwayne Milioni-William J. Curtis</t>
  </si>
  <si>
    <t>Reading Genesis Well</t>
  </si>
  <si>
    <t>Navigating History, Poetry, Science, and Truth in Genesis 1-11</t>
  </si>
  <si>
    <t>BS1235.52</t>
  </si>
  <si>
    <t>C. John Collins</t>
  </si>
  <si>
    <t>The Color of Compromise</t>
  </si>
  <si>
    <t>The Truth About the American Churchâ€™s Complicity in Racism</t>
  </si>
  <si>
    <t>E185.615</t>
  </si>
  <si>
    <t>African Americans--Religion.,Race relations--Religious aspects--Christianity.</t>
  </si>
  <si>
    <t>A Legacy of Preaching, Volume Two---Enlightenment to the Present Day</t>
  </si>
  <si>
    <t>BV4207 .L42 2018</t>
  </si>
  <si>
    <t>Preaching--History.,Sermons--History and criticism.</t>
  </si>
  <si>
    <t>A Legacy of Preaching</t>
  </si>
  <si>
    <t>A Legacy of Preaching, Volume One---Apostles to the Revivalists</t>
  </si>
  <si>
    <t>A War of Loves</t>
  </si>
  <si>
    <t>The Unexpected Story of a Gay Activist Discovering Jesus</t>
  </si>
  <si>
    <t>BR115.H6 B46 2018eb</t>
  </si>
  <si>
    <t>Gay activists--Australia--Sydney (N.S.W.)--Biography.,Gay men--Australia--Sydney (N.S.W.)--Biography.,Gay rights--Religious aspects.,Homosexuality--Religious aspects--Christianity.,Sexual ethics--Religious aspects.,Sexual orientation--Religious aspects.</t>
  </si>
  <si>
    <t>David Bennett</t>
  </si>
  <si>
    <t>Spirit and Sacrament</t>
  </si>
  <si>
    <t>An Invitation to Eucharismatic Worship</t>
  </si>
  <si>
    <t>Christian leadership.,Christianity--Rituals.,Lord's Supper.,Pentecostalism.,Theology, Practical.</t>
  </si>
  <si>
    <t>Moral Choices</t>
  </si>
  <si>
    <t>An Introduction to Ethics</t>
  </si>
  <si>
    <t>BJ1012</t>
  </si>
  <si>
    <t>Philosophy.</t>
  </si>
  <si>
    <t>Scott Rae</t>
  </si>
  <si>
    <t>Counseling Techniques</t>
  </si>
  <si>
    <t>A Comprehensive Resource for Christian Counselors</t>
  </si>
  <si>
    <t>PSYCHOLOGY / Psychotherapy / Counseling</t>
  </si>
  <si>
    <t>BR115.C69</t>
  </si>
  <si>
    <t>Counseling--Religious aspects--Christianity.,Counselors--Training of.</t>
  </si>
  <si>
    <t>Know How We Got Our Bible</t>
  </si>
  <si>
    <t>BS445</t>
  </si>
  <si>
    <t>Ryan Matthew Reeves-Charles E. Hill</t>
  </si>
  <si>
    <t>Know Series</t>
  </si>
  <si>
    <t>Brief Insights on Mastering Bible Doctrine</t>
  </si>
  <si>
    <t>80 Expert Insights on the Bible, Explained in a Single Minute</t>
  </si>
  <si>
    <t>Michael S. Heiser</t>
  </si>
  <si>
    <t>60-Second Scholar Series</t>
  </si>
  <si>
    <t>The God Who Gives</t>
  </si>
  <si>
    <t>How the Trinity Shapes the Christian Story</t>
  </si>
  <si>
    <t>BT140</t>
  </si>
  <si>
    <t>Kelly M. Kapic-Justin L. Borger</t>
  </si>
  <si>
    <t>Brief Insights on Mastering the Bible</t>
  </si>
  <si>
    <t>Justification, Volume 2</t>
  </si>
  <si>
    <t>BT764.3 .H67 2018</t>
  </si>
  <si>
    <t>Justification (Christian theology),Religion.,Righteousness.</t>
  </si>
  <si>
    <t>Justification</t>
  </si>
  <si>
    <t>Apologetics at the Cross</t>
  </si>
  <si>
    <t>An Introduction for Christian Witness</t>
  </si>
  <si>
    <t>BT1103</t>
  </si>
  <si>
    <t>Josh Chatraw-Mark D. Allen</t>
  </si>
  <si>
    <t>Now That I'm Called</t>
  </si>
  <si>
    <t>A Guide for Women Discerning a Call to Ministry</t>
  </si>
  <si>
    <t>BV676</t>
  </si>
  <si>
    <t>Clergy--Appointment, call, and election.,Women clergy.,Women in Christianity.</t>
  </si>
  <si>
    <t>Kristen Padilla</t>
  </si>
  <si>
    <t>Survival Guide for the Soul</t>
  </si>
  <si>
    <t>How to Flourish Spiritually in a World That Pressures Us to Achieve</t>
  </si>
  <si>
    <t>Christian life.,Spiritual formation.,Spiritual life--Christianity.</t>
  </si>
  <si>
    <t>Ken Shigematsu</t>
  </si>
  <si>
    <t>Brief Insights on Mastering Bible Study</t>
  </si>
  <si>
    <t>80 Expert Insights, Explained in a Single Minute</t>
  </si>
  <si>
    <t>Justification, Volume 1</t>
  </si>
  <si>
    <t>The Lost Discipline of Conversation</t>
  </si>
  <si>
    <t>Surprising Lessons in Spiritual Formation Drawn From the English Puritans</t>
  </si>
  <si>
    <t>BV4597.53.C64</t>
  </si>
  <si>
    <t>Conversation--Religious aspects--Christianity.,Listening--Religious aspects--Christianity.,Spiritual formation--Puritans.</t>
  </si>
  <si>
    <t>Joanne J. Jung</t>
  </si>
  <si>
    <t>Chronological and Background Charts of the New Testament</t>
  </si>
  <si>
    <t>BS2310.H68 2009</t>
  </si>
  <si>
    <t>ZondervanCharts</t>
  </si>
  <si>
    <t>Hero Maker</t>
  </si>
  <si>
    <t>Five Essential Practices for Leaders to Multiply Leaders</t>
  </si>
  <si>
    <t>BV4408.5 .F47 2018eb</t>
  </si>
  <si>
    <t>Dave Ferguson-Warren Bird</t>
  </si>
  <si>
    <t>Basics of Greek Accents</t>
  </si>
  <si>
    <t>Eight Lessons with Exercises</t>
  </si>
  <si>
    <t>PA269</t>
  </si>
  <si>
    <t>Greek language, Biblical--Accents and accentuation.,Greek language--Accents and accentuation.</t>
  </si>
  <si>
    <t>John A. L. Lee</t>
  </si>
  <si>
    <t>Christ and the Created Order</t>
  </si>
  <si>
    <t>Perspectives From Theology, Philosophy, and Science</t>
  </si>
  <si>
    <t>BT590.S4</t>
  </si>
  <si>
    <t>Bible and science.</t>
  </si>
  <si>
    <t>Zondervan-Andrew B. Torrance-Thomas H. McCall</t>
  </si>
  <si>
    <t>Underground Church</t>
  </si>
  <si>
    <t>A Living Example of the Church in Its Most Potent Form</t>
  </si>
  <si>
    <t>BV601.8</t>
  </si>
  <si>
    <t>Brian Sanders</t>
  </si>
  <si>
    <t>A Doubter's Guide to Jesus</t>
  </si>
  <si>
    <t>An Introduction to the Man From Nazareth for Believers and Skeptics</t>
  </si>
  <si>
    <t>A Redemptive Theology of Art</t>
  </si>
  <si>
    <t>Restoring Godly Aesthetics to Doctrine and Culture</t>
  </si>
  <si>
    <t>BR115.A8</t>
  </si>
  <si>
    <t>David A. Covington</t>
  </si>
  <si>
    <t>Knowing Creation</t>
  </si>
  <si>
    <t>BS651 .K59 2018eb</t>
  </si>
  <si>
    <t>Creation.,Creationism.,Religion.</t>
  </si>
  <si>
    <t>Mental Health and the Church</t>
  </si>
  <si>
    <t>A Ministry Handbook for Including Children and Adults with ADHD, Anxiety, Mood Disorders, and Other Common Mental Health Conditions</t>
  </si>
  <si>
    <t>BV4461 .G73 2018eb</t>
  </si>
  <si>
    <t>Church work with families.,Church work with the mentally ill.</t>
  </si>
  <si>
    <t>Stephen Grcevich, MD</t>
  </si>
  <si>
    <t>Christ From Beginning to End</t>
  </si>
  <si>
    <t>How the Full Story of Scripture Reveals the Full Glory of Christ</t>
  </si>
  <si>
    <t>BT203 .H86 2018eb</t>
  </si>
  <si>
    <t>Trent Hunter-Stephen Wellum</t>
  </si>
  <si>
    <t>Creation Care</t>
  </si>
  <si>
    <t>A Biblical Theology of the Natural World</t>
  </si>
  <si>
    <t>BT695.5</t>
  </si>
  <si>
    <t>Ecotheology.,Environmentalism--Biblical teaching.,Human ecology--Religious aspects--Christianity.,Nature--Religious aspects--Christianity.</t>
  </si>
  <si>
    <t>Douglas J. Moo-Jonathan A. Moo-Jonathan Lunde</t>
  </si>
  <si>
    <t>Biblical Theology for Life / General Editor, Jonathan Lunde</t>
  </si>
  <si>
    <t>Evangelism in a Skeptical World</t>
  </si>
  <si>
    <t>How to Make the Unbelievable News About Jesus More Believable</t>
  </si>
  <si>
    <t>BV3796</t>
  </si>
  <si>
    <t>Evangelistic work--Study and teaching.,Witness bearing (Christianity)</t>
  </si>
  <si>
    <t>People Are the Mission</t>
  </si>
  <si>
    <t>How Churches Can Welcome Guests Without Compromising the Gospel</t>
  </si>
  <si>
    <t>Danny Franks</t>
  </si>
  <si>
    <t>Even in Our Darkness</t>
  </si>
  <si>
    <t>A Story of Beauty in a Broken Life</t>
  </si>
  <si>
    <t>Irresistible</t>
  </si>
  <si>
    <t>BT60</t>
  </si>
  <si>
    <t>Apologetics.,Christianity--Essence, genius, nature.</t>
  </si>
  <si>
    <t>The Zondervan 2018 Pastor's Annual</t>
  </si>
  <si>
    <t>Preaching God's Word, Second Edition</t>
  </si>
  <si>
    <t>A Hands-On Approach to Preparing, Developing, and Delivering the Sermon</t>
  </si>
  <si>
    <t>BV4211.3 .C37 2018</t>
  </si>
  <si>
    <t>Preaching.</t>
  </si>
  <si>
    <t>Terry G. Carter-J. Scott Duvall-J. Daniel Hays</t>
  </si>
  <si>
    <t>Introduction to Biblical Interpretation Workbook</t>
  </si>
  <si>
    <t>Study Questions, Practical Exercises, and Lab Reports</t>
  </si>
  <si>
    <t>How to Get Unstuck</t>
  </si>
  <si>
    <t>Breaking Free From Barriers to Your Productivity</t>
  </si>
  <si>
    <t>Answering Jihad and Seeking Allah, Finding Jesus Collection</t>
  </si>
  <si>
    <t>Luke 1:1-9:20, Volume 35A</t>
  </si>
  <si>
    <t>Song of Songs and Lamentations, Volume 23B</t>
  </si>
  <si>
    <t>Duane Garrett-Dr. Paul R. House</t>
  </si>
  <si>
    <t>What Christians Ought to Believe</t>
  </si>
  <si>
    <t>An Introduction to Christian Doctrine Through the Apostlesâ€™ Creed</t>
  </si>
  <si>
    <t>RELIGION / Christianity / Catechisms</t>
  </si>
  <si>
    <t>BT993.3</t>
  </si>
  <si>
    <t>Exodus, Volume 3</t>
  </si>
  <si>
    <t>BS1245.3</t>
  </si>
  <si>
    <t>James, Volume 48</t>
  </si>
  <si>
    <t>NIVAC Bundle 8: General Epistles, Revelation</t>
  </si>
  <si>
    <t>BS2629</t>
  </si>
  <si>
    <t>George H. Guthrie-David P. Nystrom-Scot McKnight-Gary M. Burge-Craig S. Keener</t>
  </si>
  <si>
    <t>NIV Application Commentary</t>
  </si>
  <si>
    <t>NIVAC Bundle 6: Gospels, Acts</t>
  </si>
  <si>
    <t>BS2555.3</t>
  </si>
  <si>
    <t>Michael J. Wilkins-David E. Garland-Darrell L. Bock-Gary M. Burge-Ajith Fernando</t>
  </si>
  <si>
    <t>NIVAC Bundle 7: Pauline Epistles</t>
  </si>
  <si>
    <t>BS2650.53</t>
  </si>
  <si>
    <t>Douglas J. Moo-Craig L. Blomberg-Scott J. Hafemann-Scot McKnight-Klyne Snodgrass-Frank S. Thielman-Daniel Garland-Michael W. Holmes-Walter L. Liefeld</t>
  </si>
  <si>
    <t>NIVAC Bundle 5: Minor Prophets</t>
  </si>
  <si>
    <t>Gary V. Smith-James Bruckner-Mark J. Boda</t>
  </si>
  <si>
    <t>NIVAC Bundle 4: Major Prophets</t>
  </si>
  <si>
    <t>BS1505.53</t>
  </si>
  <si>
    <t>John N. Oswalt-J. Andrew Dearman-Iain M. Duguid-Tremper Longman III</t>
  </si>
  <si>
    <t>Major Prophets</t>
  </si>
  <si>
    <t>NIVAC Bundle 3: Wisdom Books</t>
  </si>
  <si>
    <t>BS1455</t>
  </si>
  <si>
    <t>Wisdom literature--Commentaries.</t>
  </si>
  <si>
    <t>John H. Walton-Gerald H. Wilson-Paul Koptak-Iain Provan</t>
  </si>
  <si>
    <t>Wisdom Books</t>
  </si>
  <si>
    <t>NIVAC Bundle 2: Historical Books</t>
  </si>
  <si>
    <t>BS1205.53</t>
  </si>
  <si>
    <t>Robert L. Hubbard, Jr.-K. Lawson Younger-Bill T. Arnold-August H. Konkel-Andrew E. Hill-Karen H. Jobes</t>
  </si>
  <si>
    <t>NIVAC Bundle 1: Pentateuch</t>
  </si>
  <si>
    <t>BS1225.53</t>
  </si>
  <si>
    <t>John H. Walton-Roy Gane-Daniel I. Block</t>
  </si>
  <si>
    <t>Proverbs, Volume 22</t>
  </si>
  <si>
    <t>BS1465.53</t>
  </si>
  <si>
    <t>Roland E. Murphy</t>
  </si>
  <si>
    <t>Zondervan Atlas of the Bible</t>
  </si>
  <si>
    <t>RELIGION / Biblical Reference / Atlases</t>
  </si>
  <si>
    <t>BS630 .R376 2014</t>
  </si>
  <si>
    <t>Carl G. Rasmussen</t>
  </si>
  <si>
    <t>Rev. ed</t>
  </si>
  <si>
    <t>Charts of Bible Prophecy</t>
  </si>
  <si>
    <t>BS647.3.H68 2003</t>
  </si>
  <si>
    <t>H. Wayne House-J. Randall Price</t>
  </si>
  <si>
    <t>Charts of Biblical Hebrew</t>
  </si>
  <si>
    <t>PJ4571.3</t>
  </si>
  <si>
    <t>Hebrew language--Grammar--Charts, diagrams, etc.</t>
  </si>
  <si>
    <t>Miles V. Van Pelt-Gary D. Pratico</t>
  </si>
  <si>
    <t>PA817 .M686 2015</t>
  </si>
  <si>
    <t>Zondervan Essential Atlas of the Bible</t>
  </si>
  <si>
    <t>G2230 .R33 2013eb</t>
  </si>
  <si>
    <t>Old Testament Today, 2nd Edition</t>
  </si>
  <si>
    <t>A Journey From Ancient Context to Contemporary Relevance</t>
  </si>
  <si>
    <t>BS1194</t>
  </si>
  <si>
    <t>John H. Walton-Andrew E. Hill</t>
  </si>
  <si>
    <t>Church History, Volume One: From Christ to the Pre-Reformation</t>
  </si>
  <si>
    <t>The Rise and Growth of the Church in Its Cultural, Intellectual, and Political Context</t>
  </si>
  <si>
    <t>Church history.,Religion.</t>
  </si>
  <si>
    <t>Everett Ferguson</t>
  </si>
  <si>
    <t>Evangelical Theology</t>
  </si>
  <si>
    <t>BR1640</t>
  </si>
  <si>
    <t>Church History, Volume Two: From Pre-Reformation to the Present Day</t>
  </si>
  <si>
    <t>BR252 .W66 2013eb</t>
  </si>
  <si>
    <t>John D. Woodbridge-Frank A. James III</t>
  </si>
  <si>
    <t>Church History</t>
  </si>
  <si>
    <t>Pilgrim Theology</t>
  </si>
  <si>
    <t>Core Doctrines for Christian Disciples</t>
  </si>
  <si>
    <t>BT75.3 .H675 2012eb</t>
  </si>
  <si>
    <t>Beyond Integrity</t>
  </si>
  <si>
    <t>A Judeo-Christian Approach to Business Ethics</t>
  </si>
  <si>
    <t>Business ethics.,Business--Religious aspects--Christianity.,Business--Religious aspects--Judaism.</t>
  </si>
  <si>
    <t>Scott Rae-Kenman L. Wong</t>
  </si>
  <si>
    <t>Living God's Word</t>
  </si>
  <si>
    <t>Do Good: Evan Almighty</t>
  </si>
  <si>
    <t>Bible Doctrine</t>
  </si>
  <si>
    <t>BT75.2 G783 2014</t>
  </si>
  <si>
    <t>Religion.,Theology, Doctrinal.</t>
  </si>
  <si>
    <t>Zondervan 2010 Pastor's Annual</t>
  </si>
  <si>
    <t>The Torah Story</t>
  </si>
  <si>
    <t>An Apprenticeship on the Pentateuch</t>
  </si>
  <si>
    <t>BS1225.52</t>
  </si>
  <si>
    <t>Gary Edward Schnittjer</t>
  </si>
  <si>
    <t>The New Testament in Antiquity</t>
  </si>
  <si>
    <t>A Survey of the New Testament Within Its Cultural Context</t>
  </si>
  <si>
    <t>Gary M. Burge-Lynn H. Cohick-Gene L. Green</t>
  </si>
  <si>
    <t>The Message of the Prophets</t>
  </si>
  <si>
    <t>A Survey of the Prophetic and Apocalyptic Books of the Old Testament</t>
  </si>
  <si>
    <t>BS1506 .H43 2010eb</t>
  </si>
  <si>
    <t>J. Daniel Hays</t>
  </si>
  <si>
    <t>Letters to the Church</t>
  </si>
  <si>
    <t>A Survey of Hebrews and the General Epistles</t>
  </si>
  <si>
    <t>BS2775.55</t>
  </si>
  <si>
    <t>Karen H. Jobes</t>
  </si>
  <si>
    <t>How to Read the Bible Book by Book</t>
  </si>
  <si>
    <t>A Guided Tour</t>
  </si>
  <si>
    <t>BS617</t>
  </si>
  <si>
    <t>Bible - Criticism, Interpretation, etc.,Bible - Reading.</t>
  </si>
  <si>
    <t>Gordon D. Fee</t>
  </si>
  <si>
    <t>Hebrew for the Rest of Us</t>
  </si>
  <si>
    <t>Using Hebrew Tools Without Mastering Biblical Hebrew</t>
  </si>
  <si>
    <t>PJ4567.3 .F54 2017eb</t>
  </si>
  <si>
    <t>Hebrew language--Grammar--Textbooks.,Hebrew language--Textbooks for foreign speakers--English.</t>
  </si>
  <si>
    <t>Lee M. Fields</t>
  </si>
  <si>
    <t>Evan Almighty Devotional</t>
  </si>
  <si>
    <t>A Workbook for New Testament Syntax</t>
  </si>
  <si>
    <t>Companion to Basics of New Testament Syntax and Greek Grammar Beyond the Basics</t>
  </si>
  <si>
    <t>PA8511 .W3381 2011eb</t>
  </si>
  <si>
    <t>Daniel B. Wallace-Grant Edwards</t>
  </si>
  <si>
    <t>EPub edition</t>
  </si>
  <si>
    <t>An Illustrated Introduction to the Bible</t>
  </si>
  <si>
    <t>Henry H. Halley</t>
  </si>
  <si>
    <t>The Jewish People and the Holy Land</t>
  </si>
  <si>
    <t>An Illustrated Introduction to Jesus's Life and Ministry</t>
  </si>
  <si>
    <t>The Time Between the Old and New Testament</t>
  </si>
  <si>
    <t>Growing Souls</t>
  </si>
  <si>
    <t>Experiments in Contemplative Youth Ministry</t>
  </si>
  <si>
    <t>BV4447.Y325 2007</t>
  </si>
  <si>
    <t>Contemplative Youth Ministry</t>
  </si>
  <si>
    <t>Practicing the Presence of Jesus</t>
  </si>
  <si>
    <t>BV4447 .Y23 2006eb</t>
  </si>
  <si>
    <t>Church work with youth.,Contemplation.</t>
  </si>
  <si>
    <t>Christianity: The Biography</t>
  </si>
  <si>
    <t>2000 Years of Global History</t>
  </si>
  <si>
    <t>BR145.3 .S487 2016eb</t>
  </si>
  <si>
    <t>Ian J. Shaw</t>
  </si>
  <si>
    <t>Preaching and Preachers</t>
  </si>
  <si>
    <t>BV4211.3 .L58 2011eb</t>
  </si>
  <si>
    <t>Church group work.,Church work.,Clergy--Office.,Pastoral theology.,Preaching.</t>
  </si>
  <si>
    <t>D. Martyn Lloyd-Jones</t>
  </si>
  <si>
    <t>40th anniversary edition</t>
  </si>
  <si>
    <t>Love Without Walls</t>
  </si>
  <si>
    <t>Learning to Be a Church In the World For the World</t>
  </si>
  <si>
    <t>Laurie Beshore</t>
  </si>
  <si>
    <t>The Ethics of War</t>
  </si>
  <si>
    <t>Christian ethics.,Ethics.,Religion.,War--Moral and ethical aspects.</t>
  </si>
  <si>
    <t>Sin and Atonement</t>
  </si>
  <si>
    <t>BT265.3</t>
  </si>
  <si>
    <t>Atonement.,Religion.,Sin.</t>
  </si>
  <si>
    <t>Biblical &amp; Theological Studies</t>
  </si>
  <si>
    <t>Heaven and Hell</t>
  </si>
  <si>
    <t>BS680.H42</t>
  </si>
  <si>
    <t>Heaven--Biblical teaching.,Heaven--Christianity.,Hell--Biblical teaching.,Hell--Christianity.,Religion.</t>
  </si>
  <si>
    <t>The Radical Reformission</t>
  </si>
  <si>
    <t>Reaching Out Without Selling Out</t>
  </si>
  <si>
    <t>BV3793 .D75 2004eb</t>
  </si>
  <si>
    <t>Christianity and culture--United States.,Evangelistic work--United States.</t>
  </si>
  <si>
    <t>Hot Illustrations for Youth Talks</t>
  </si>
  <si>
    <t>100 Attention-Getting Stories, Parables, and Anecdotes</t>
  </si>
  <si>
    <t>BV4310</t>
  </si>
  <si>
    <t>Homiletical illustrations.,Youth sermons--Outlines, syllabi, etc.</t>
  </si>
  <si>
    <t>Studies on the Go</t>
  </si>
  <si>
    <t>A Youth Worker's Commentary on James</t>
  </si>
  <si>
    <t>David P. Nystrom-Les Christie</t>
  </si>
  <si>
    <t>Relationships Unfiltered</t>
  </si>
  <si>
    <t>Help for Youth Workers, Volunteers, and Parents on Creating Authentic Relationships</t>
  </si>
  <si>
    <t>BV4447</t>
  </si>
  <si>
    <t>Church work with teenagers.,Interpersonal relations--Religious aspects--Christianity.,Parent and teenager--Religious aspects--Christianity.</t>
  </si>
  <si>
    <t>Andrew Root</t>
  </si>
  <si>
    <t>More 10-Minute Talks</t>
  </si>
  <si>
    <t>24 Messages Your Students Will Love</t>
  </si>
  <si>
    <t>Jonathan McKee</t>
  </si>
  <si>
    <t>A Youth Worker's Commentary on John, Vol 2</t>
  </si>
  <si>
    <t>Volume 2</t>
  </si>
  <si>
    <t>Les Christie-David P. Nystrom</t>
  </si>
  <si>
    <t>Unleashing God's Word in Youth Ministry</t>
  </si>
  <si>
    <t>BV4447 .S465 2009</t>
  </si>
  <si>
    <t>Church group work with youth.,Church work with youth.</t>
  </si>
  <si>
    <t>Spontaneous Melodramas</t>
  </si>
  <si>
    <t>24 Impromptu Skits That Bring Bible Stories to Life</t>
  </si>
  <si>
    <t>Doug Fields-Laurie Polich-Duffy Robbins</t>
  </si>
  <si>
    <t>How to Volunteer Like a Pro</t>
  </si>
  <si>
    <t>An Amateurâ€™s Guide for Working with Teenagers</t>
  </si>
  <si>
    <t>Jim Hancock</t>
  </si>
  <si>
    <t>This Way to Youth Ministry</t>
  </si>
  <si>
    <t>An Introduction to the Adventure</t>
  </si>
  <si>
    <t>Duffy Robbins</t>
  </si>
  <si>
    <t>YS Academic</t>
  </si>
  <si>
    <t>Help! I'm a Woman in Youth Ministry!</t>
  </si>
  <si>
    <t>Practical Empowerment for Your Calling and Your Life</t>
  </si>
  <si>
    <t>Church work with youth.,Women in church work.</t>
  </si>
  <si>
    <t>Kara Powell-Megan Hutchinson-Heather Flies</t>
  </si>
  <si>
    <t>Soul School</t>
  </si>
  <si>
    <t>Enrolling in a Soulful Lifestyle for Youth Ministry</t>
  </si>
  <si>
    <t>Jeanne Stevens</t>
  </si>
  <si>
    <t>Building a Youth Ministry That Builds Disciples</t>
  </si>
  <si>
    <t>A Small Book About a Big Idea</t>
  </si>
  <si>
    <t>Christian teenagers--Religious life.,Christian youth--Religious life.,Church group work with teenagers.,Church group work with youth.,Church work with teenagers.,Church work with youth.,Discipling (Christianity)</t>
  </si>
  <si>
    <t>What Matters Most</t>
  </si>
  <si>
    <t>When NO Is Better Than YES</t>
  </si>
  <si>
    <t>Raising Wise Children</t>
  </si>
  <si>
    <t>Handing Down the Story of Wisdom</t>
  </si>
  <si>
    <t>Would You Rather... ?</t>
  </si>
  <si>
    <t>465 Provocative Questions to Get Teenagers Talking</t>
  </si>
  <si>
    <t>BV4447 .F5435 2009eb</t>
  </si>
  <si>
    <t>Church work with teenagers.,Church work with youth.</t>
  </si>
  <si>
    <t>Quick Questions</t>
  </si>
  <si>
    <t>Worlds Apart</t>
  </si>
  <si>
    <t>Understanding the Mindset and Values of 18-25 Year Olds</t>
  </si>
  <si>
    <t>Chuck Bomar</t>
  </si>
  <si>
    <t>When Church Kids Go Bad</t>
  </si>
  <si>
    <t>How to Love and Work with Rude, Obnoxious, and Apathetic Students</t>
  </si>
  <si>
    <t>Les Christie</t>
  </si>
  <si>
    <t>TV Shows That Teach</t>
  </si>
  <si>
    <t>100 TV Moments to Get Teenagers Talking</t>
  </si>
  <si>
    <t>Eddie James-Tommy Woodard</t>
  </si>
  <si>
    <t>Videos That Teach</t>
  </si>
  <si>
    <t>Getting Fired for the Glory of God</t>
  </si>
  <si>
    <t>Collected Words of Mike Yaconelli for Youth Workers</t>
  </si>
  <si>
    <t>Breakout Churches</t>
  </si>
  <si>
    <t>Discover How to Make the Leap</t>
  </si>
  <si>
    <t>BV652.25 .R365 2009</t>
  </si>
  <si>
    <t>Christian leadership.,Church growth.</t>
  </si>
  <si>
    <t>Creating a Prodigal-Friendly Church</t>
  </si>
  <si>
    <t>Coaching Life-Changing Small Group Leaders</t>
  </si>
  <si>
    <t>A Practical Guide for Those Who Lead and Shepherd Small Group Leaders</t>
  </si>
  <si>
    <t>Christian leadership.,Church group work.,Personal coaching.,Small groups--Religious aspects--Christianity.</t>
  </si>
  <si>
    <t>Bill Donahue-Greg Bowman</t>
  </si>
  <si>
    <t>Groups That Grow Series</t>
  </si>
  <si>
    <t>Deep and Wide</t>
  </si>
  <si>
    <t>Creating Churches Unchurched People Love to Attend</t>
  </si>
  <si>
    <t>BV4647.H67 S736 2016</t>
  </si>
  <si>
    <t>Church marketing.,Hospitality--Religious aspects--Christianity.,Non-church-affiliated people.</t>
  </si>
  <si>
    <t>Moving On---Moving Forward</t>
  </si>
  <si>
    <t>A Guide for Pastors in Transition</t>
  </si>
  <si>
    <t>BV664</t>
  </si>
  <si>
    <t>Clergy--Relocation.</t>
  </si>
  <si>
    <t>Michael Anthony-Mick Boersma</t>
  </si>
  <si>
    <t>Mending the Soul</t>
  </si>
  <si>
    <t>Understanding and Healing Abuse</t>
  </si>
  <si>
    <t>BV4464.3</t>
  </si>
  <si>
    <t>Abused children--Pastoral counseling of.,Adult child abuse victims--Pastoral counseling of.,Adult child sexual abuse victims--Pastoral counseling of.,Child abuse--Religious aspects--Christianity.,Child sexual abuse--Religious aspects--Christianity.,Sexually abused children--Pastoral counseling of.</t>
  </si>
  <si>
    <t>Steven R. Tracy</t>
  </si>
  <si>
    <t>Making Your Children's Ministry the Best Hour of Every Kid's Week</t>
  </si>
  <si>
    <t>BV639.C4M55 2004</t>
  </si>
  <si>
    <t>David Staal-Sue Miller</t>
  </si>
  <si>
    <t>Psalms 51-100, Volume 20</t>
  </si>
  <si>
    <t>BS1424 .T38 2018</t>
  </si>
  <si>
    <t>Marvin Tate</t>
  </si>
  <si>
    <t>John, Volume 36</t>
  </si>
  <si>
    <t>BS2615.3 .B427 1999eb</t>
  </si>
  <si>
    <t>1 Kings, Volume 12</t>
  </si>
  <si>
    <t>BS1335.3 .D487 2018</t>
  </si>
  <si>
    <t>Simon DeVries</t>
  </si>
  <si>
    <t>Numbers, Volume 5</t>
  </si>
  <si>
    <t>BS1265.3</t>
  </si>
  <si>
    <t>Dr. Philip J. Budd</t>
  </si>
  <si>
    <t>Washed and Waiting</t>
  </si>
  <si>
    <t>Reflections on Christian Faithfulness and Homosexuality</t>
  </si>
  <si>
    <t>BR115.H6</t>
  </si>
  <si>
    <t>Gays--Religious life.,Homosexuality--Religious aspects--Christianity.,Religion.</t>
  </si>
  <si>
    <t>Wesley Hill</t>
  </si>
  <si>
    <t>Updated &amp; expanded edition</t>
  </si>
  <si>
    <t>All the Promises of the Bible</t>
  </si>
  <si>
    <t>BT180.P7 L63 2017</t>
  </si>
  <si>
    <t>God--Promises.,Religion.</t>
  </si>
  <si>
    <t>Herbert Lockyer</t>
  </si>
  <si>
    <t>BS2795.3 E38 2017eb</t>
  </si>
  <si>
    <t>Dennis R. Edwards</t>
  </si>
  <si>
    <t>BS2575.53 .R44 2017eb</t>
  </si>
  <si>
    <t>Rodney Reeves</t>
  </si>
  <si>
    <t>Sanctification</t>
  </si>
  <si>
    <t>BT765 .S25 2017eb</t>
  </si>
  <si>
    <t>Holiness--Christianity.,Holy, The--Christianity.,Religion.,Sanctification--Christianity.</t>
  </si>
  <si>
    <t>Michael Allen</t>
  </si>
  <si>
    <t>New Studies in Dogmatics</t>
  </si>
  <si>
    <t>Proverbs</t>
  </si>
  <si>
    <t>BS1465.53 .O345 2017eb</t>
  </si>
  <si>
    <t>Ryan O'Dowd</t>
  </si>
  <si>
    <t>Going Deep and Wide</t>
  </si>
  <si>
    <t>A Companion Guide for Churches and Leaders</t>
  </si>
  <si>
    <t>Prepositions and Theology in the Greek New Testament</t>
  </si>
  <si>
    <t>An Essential Reference Resource for Exegesis</t>
  </si>
  <si>
    <t>PA849</t>
  </si>
  <si>
    <t>Greek language, Biblical--Prepositions.</t>
  </si>
  <si>
    <t>Murray J. Harris</t>
  </si>
  <si>
    <t>Leviticus, Volume 4</t>
  </si>
  <si>
    <t>BS1255.3 .H375 1992eb</t>
  </si>
  <si>
    <t>Dr. John Hartley</t>
  </si>
  <si>
    <t>The Gospel at Work</t>
  </si>
  <si>
    <t>How the Gospel Gives New Purpose and Meaning to Our Jobs</t>
  </si>
  <si>
    <t>BT738.5</t>
  </si>
  <si>
    <t>Employees--Religious life.,Religion.,Work--Religious aspects--Christianity.</t>
  </si>
  <si>
    <t>Sebastian Traeger-Greg D. Gilbert</t>
  </si>
  <si>
    <t>David Olshine</t>
  </si>
  <si>
    <t>Laurie Polich-Short</t>
  </si>
  <si>
    <t>A Quick Introduction to the Old Testament</t>
  </si>
  <si>
    <t>Tremper Longman III-Raymond B. Dillard</t>
  </si>
  <si>
    <t>Biblical and Theological Studies</t>
  </si>
  <si>
    <t>Creative Bible Lessons on the Trinity</t>
  </si>
  <si>
    <t>12 Sessions to Help Students Understand Their Place in God's Story</t>
  </si>
  <si>
    <t>The Power of Multisensory Preaching and Teaching</t>
  </si>
  <si>
    <t>Increase Attention, Comprehension, and Retention</t>
  </si>
  <si>
    <t>BV4227.B53 2008</t>
  </si>
  <si>
    <t>Rick Blackwood</t>
  </si>
  <si>
    <t>The Next Story</t>
  </si>
  <si>
    <t>Life and Faith After the Digital Explosion</t>
  </si>
  <si>
    <t>BR115.T42</t>
  </si>
  <si>
    <t>Christian life.,Christianity--21st century.,Technology--Religious aspects--Christianity.</t>
  </si>
  <si>
    <t>The Essential Bible Companion</t>
  </si>
  <si>
    <t>Key Insights for Reading God's Word</t>
  </si>
  <si>
    <t>John H. Walton-Mark L. Strauss-Ted Cooper, Jr.</t>
  </si>
  <si>
    <t>Essential Bible Companion Series</t>
  </si>
  <si>
    <t>The Emerging Church</t>
  </si>
  <si>
    <t>Vintage Christianity for New Generations</t>
  </si>
  <si>
    <t>BV15 .K48 2003eb</t>
  </si>
  <si>
    <t>Church group work with young adults.,Church work with young adults.,Evangelistic work.,Non-church-affiliated people.,Public worship.</t>
  </si>
  <si>
    <t>The Be-With Factor</t>
  </si>
  <si>
    <t>Mentoring Students in Everyday Life</t>
  </si>
  <si>
    <t>Making Sense of Church</t>
  </si>
  <si>
    <t>Eavesdropping on Emerging Conversations About God, Community, and Culture</t>
  </si>
  <si>
    <t>Spencer Burke-Colleen Pepper</t>
  </si>
  <si>
    <t>BV652.2 .D66 2012</t>
  </si>
  <si>
    <t>Four Views on the Book of Revelation</t>
  </si>
  <si>
    <t>BS2825.2 .F68 2010eb</t>
  </si>
  <si>
    <t>Zondervan-C. Marvin Pate</t>
  </si>
  <si>
    <t>Introduction to Old Testament Theology</t>
  </si>
  <si>
    <t>A Canonical Approach</t>
  </si>
  <si>
    <t>BS1192.5 .S23 1995eb</t>
  </si>
  <si>
    <t>John H. Sailhamer</t>
  </si>
  <si>
    <t>A Comprehensive Guide for Developing Leaders of Groups and Teams</t>
  </si>
  <si>
    <t>Groups That Grow</t>
  </si>
  <si>
    <t>Shaped by the Gospel</t>
  </si>
  <si>
    <t>Doing Balanced, Gospel-Centered Ministry in Your City</t>
  </si>
  <si>
    <t>BV2653 .K452 2016eb</t>
  </si>
  <si>
    <t>Church group work.,Church work.,City churches.,City missions.,Evangelistic work.,Pastoral theology.</t>
  </si>
  <si>
    <t>Center Church</t>
  </si>
  <si>
    <t>Serving a Movement</t>
  </si>
  <si>
    <t>BV2653</t>
  </si>
  <si>
    <t>Loving the City</t>
  </si>
  <si>
    <t>Church work.,City churches.,City missions.,Evangelistic work.</t>
  </si>
  <si>
    <t>Center Church Ser</t>
  </si>
  <si>
    <t>Reformission</t>
  </si>
  <si>
    <t>Historical Theology</t>
  </si>
  <si>
    <t>An Introduction to Christian Doctrine</t>
  </si>
  <si>
    <t>BT21.3</t>
  </si>
  <si>
    <t>Theology, Doctrinal--History.</t>
  </si>
  <si>
    <t>The Ethics of Capital Punishment</t>
  </si>
  <si>
    <t>Capital punishment--Moral and ethical aspects.,Capital punishment--Religious aspects--Christianity.,Christian ethics.,Religion.</t>
  </si>
  <si>
    <t>The Ethics of Business</t>
  </si>
  <si>
    <t>Church Government</t>
  </si>
  <si>
    <t>Wild Truth Bible Lessons--Pictures of God</t>
  </si>
  <si>
    <t>12 MORE Wild Bible Studies on the Character of a Wild God and What It Means for Junior Highers and Middle Schoolers</t>
  </si>
  <si>
    <t>Wild Truth Bible Lessons 2</t>
  </si>
  <si>
    <t>12 More Wild Studies for Junior Highers, Based on Wild Bible Characters</t>
  </si>
  <si>
    <t>When I â€¦</t>
  </si>
  <si>
    <t>500 Sentence-Finishers to Get Your Students Talking</t>
  </si>
  <si>
    <t>Brian Schulenburg</t>
  </si>
  <si>
    <t>What's the Deal With â€¦?</t>
  </si>
  <si>
    <t>500 Questions Today's Students Are Asking About the Biggest Issues in Life</t>
  </si>
  <si>
    <t>What If... ?</t>
  </si>
  <si>
    <t>450 Thought Provoking Questions to Get Teenagers Talking, Laughing, and Thinking</t>
  </si>
  <si>
    <t>What Do I Do When Teenagers Encounter Bullying and Violence?</t>
  </si>
  <si>
    <t>BT736.15 .G47 2009eb</t>
  </si>
  <si>
    <t>Bullying--Religious aspects.,Church group work with teenagers.,Church work with teenagers.,Violence--Religious aspects--Christianity.</t>
  </si>
  <si>
    <t>Steven Gerali</t>
  </si>
  <si>
    <t>What Do I Do When</t>
  </si>
  <si>
    <t>What Do I Do When Teenagers Deal with Death?</t>
  </si>
  <si>
    <t>What Do I Do When Teenagers Struggle with Eating Disorders?</t>
  </si>
  <si>
    <t>RC552 .E18 G47 2010eb</t>
  </si>
  <si>
    <t>Eating disorders.</t>
  </si>
  <si>
    <t>Youth Specialties</t>
  </si>
  <si>
    <t>What Do I Do When Teenagers Question Their Sexuality?</t>
  </si>
  <si>
    <t>BR115.H6 W44 2010eb</t>
  </si>
  <si>
    <t>Church work with teenagers.,Church work with youth.,Gay teenagers--Religious aspects--Christianity.,Homosexuality--Religious aspects--Christianity.,Pastoral counseling.,Sexual orientation.,Youth--Sexual behavior.</t>
  </si>
  <si>
    <t>What Do I Do When-- Book Series</t>
  </si>
  <si>
    <t>What Do I Do When Teenagers Are Victims of Abuse?</t>
  </si>
  <si>
    <t>What Do I Do When Teenagers Are Depressed and Contemplate Suicide?</t>
  </si>
  <si>
    <t>Christian teenagers--Suicidal behavior--Prevention.,Church group work with teenagers.,Church work with teenagers.,Depressed persons--Pastoral counseling of.,Depression in adolescence--Religious aspects--Christianity.,Suicide--Religious aspects--Christianity.</t>
  </si>
  <si>
    <t>What Can We Do?</t>
  </si>
  <si>
    <t>Practical Ways Your Youth Ministry Can Have a Global Conscience</t>
  </si>
  <si>
    <t>David Livermore-Terry D. Linhart</t>
  </si>
  <si>
    <t>Unfinished Sentences</t>
  </si>
  <si>
    <t>450 Tantalizing Unfinished Sentences to Get Teenagers Talking and Thinking</t>
  </si>
  <si>
    <t>Trust</t>
  </si>
  <si>
    <t>Meet the Worldâ€™s One Savior and Lord</t>
  </si>
  <si>
    <t>Deeper Series</t>
  </si>
  <si>
    <t>Tough Topics</t>
  </si>
  <si>
    <t>600 Questions That Will Take Your Students Beneath the Surface</t>
  </si>
  <si>
    <t>Jim Aitkins</t>
  </si>
  <si>
    <t>Adults and Teenagers Transforming the Church</t>
  </si>
  <si>
    <t>Jeff Baxter</t>
  </si>
  <si>
    <t>Dare to Live Like Jesus</t>
  </si>
  <si>
    <t>Higher Series</t>
  </si>
  <si>
    <t>Think</t>
  </si>
  <si>
    <t>Figure Out What You Believe and Why</t>
  </si>
  <si>
    <t>The Youth Worker Book of Hope</t>
  </si>
  <si>
    <t>True Stories of Brokenness and Healing</t>
  </si>
  <si>
    <t>The Student Leadership Training Manual for Youth Workers</t>
  </si>
  <si>
    <t>Everything You Need to Disciple Your Kids in Leadership Skills</t>
  </si>
  <si>
    <t>Dennis Tiger McLuen-Chuck Wysong</t>
  </si>
  <si>
    <t>The Space Between</t>
  </si>
  <si>
    <t>A Parent's Guide to Teenage Development</t>
  </si>
  <si>
    <t>BV4531.3 .M84 2009eb</t>
  </si>
  <si>
    <t>Christian teenagers--Religious life.,Church work with teenagers.,Parent and teenager--Religious aspects--Christianity.</t>
  </si>
  <si>
    <t>Walt Mueller</t>
  </si>
  <si>
    <t>The Philippians, Colossians, First and Second Thessalonians</t>
  </si>
  <si>
    <t>The Out of Bounds Church?</t>
  </si>
  <si>
    <t>Learning to Create a Community of Faith in a Culture of Change</t>
  </si>
  <si>
    <t>BR115.C8T395 2005</t>
  </si>
  <si>
    <t>Steve Taylor</t>
  </si>
  <si>
    <t>The Core Realities of Youth Ministry</t>
  </si>
  <si>
    <t>Nine Biblical Principles That Mark Healthy Youth Ministries</t>
  </si>
  <si>
    <t>BV4447 .Y25 2010eb</t>
  </si>
  <si>
    <t>The Book of Uncommon Prayer 2</t>
  </si>
  <si>
    <t>Prayers and Worship Services for Youth Ministry</t>
  </si>
  <si>
    <t>Soul Shaper</t>
  </si>
  <si>
    <t>The Book of Uncommon Prayer</t>
  </si>
  <si>
    <t>Contemplative and Celebratory Prayers and Worship Services for Youth Ministry</t>
  </si>
  <si>
    <t>BV283.Y6C27 2002</t>
  </si>
  <si>
    <t>Teaching Through the Art of Storytelling</t>
  </si>
  <si>
    <t>Creating Fictional Stories That Illuminate the Message of Jesus</t>
  </si>
  <si>
    <t>BV1534.3</t>
  </si>
  <si>
    <t>Jon Huckins</t>
  </si>
  <si>
    <t>Still More Hot Illustrations for Youth Talks</t>
  </si>
  <si>
    <t>100 More Attention-Getting Stories, Parables, and Anecdotes</t>
  </si>
  <si>
    <t>BV4225.2.S75 1999</t>
  </si>
  <si>
    <t>Starting Right</t>
  </si>
  <si>
    <t>Thinking Theologically About Youth Ministry</t>
  </si>
  <si>
    <t>BV4446 .S73 2001eb</t>
  </si>
  <si>
    <t>Church group work with youth.,Church work with youth.,Theology, Practical.</t>
  </si>
  <si>
    <t>Kenda Creasy Dean-Chap Clark-Dave Rahn</t>
  </si>
  <si>
    <t>Spontaneous Melodramas 2</t>
  </si>
  <si>
    <t>24 More Impromptu Skits That Bring Bible Stories to Life</t>
  </si>
  <si>
    <t>BV1534.4.F54 2001</t>
  </si>
  <si>
    <t>Soar</t>
  </si>
  <si>
    <t>Fly Into God's Plan for Your Future</t>
  </si>
  <si>
    <t>Small Group Strategies</t>
  </si>
  <si>
    <t>Ideas and Activities for Developing Spiritual Growth in Your Students</t>
  </si>
  <si>
    <t>Church group work with youth.,Church work with students.,Small groups--Religious aspects--Christianity.</t>
  </si>
  <si>
    <t>Laurie Polich-Charley Scandlyn</t>
  </si>
  <si>
    <t>Small Group Qs</t>
  </si>
  <si>
    <t>600 Eye-Opening Questions for Deepening Community and Exploring Scripture</t>
  </si>
  <si>
    <t>Skits That Teach</t>
  </si>
  <si>
    <t>Lactose Free for Those Who Can't Stand Cheesy Skits</t>
  </si>
  <si>
    <t>See, Believe, Live</t>
  </si>
  <si>
    <t>An Inductive Study in John</t>
  </si>
  <si>
    <t>Real World Parents</t>
  </si>
  <si>
    <t>Christian Parenting for Families Living in the Real World</t>
  </si>
  <si>
    <t>Opposite Day</t>
  </si>
  <si>
    <t>Upside-Down Questions to Keep Students Talking and Listening</t>
  </si>
  <si>
    <t>Name Your Favorite</t>
  </si>
  <si>
    <t>700 Rapid-Fire Ice Breakers to Get Teenagers Talking</t>
  </si>
  <si>
    <t>Shawn Edwards-Don Stricklin-Gay Stricklin</t>
  </si>
  <si>
    <t>Moving Forward by Looking Back</t>
  </si>
  <si>
    <t>Embracing First-Century Practices in Youth Ministry</t>
  </si>
  <si>
    <t>Church work with youth.</t>
  </si>
  <si>
    <t>Craig Steiner</t>
  </si>
  <si>
    <t>Models, Mentors, and Messages</t>
  </si>
  <si>
    <t>Blueprints of Urban Ministry</t>
  </si>
  <si>
    <t>BV637</t>
  </si>
  <si>
    <t>Church work.,City churches.,City missions.</t>
  </si>
  <si>
    <t>RenÃ© Rochester</t>
  </si>
  <si>
    <t>Missional Youth Ministry</t>
  </si>
  <si>
    <t>Moving From Gathering Teenagers to Scattering Disciples</t>
  </si>
  <si>
    <t>BV4447 .K565 2011eb</t>
  </si>
  <si>
    <t>Church work with youth.,Discipling (Christianity)</t>
  </si>
  <si>
    <t>Brian Kirk-Jacob Thorne</t>
  </si>
  <si>
    <t>Ministry by Teenagers</t>
  </si>
  <si>
    <t>Developing Leaders From Within</t>
  </si>
  <si>
    <t>BV4447 .M354 2011</t>
  </si>
  <si>
    <t>Christian leadership.,Church group work with teenagers.,Church work with teenagers.</t>
  </si>
  <si>
    <t>Jonathan McKee-David R Smith</t>
  </si>
  <si>
    <t>Mile Markers</t>
  </si>
  <si>
    <t>A Path for Nurturing Adolescent Faith</t>
  </si>
  <si>
    <t>BV4531.3.M4197 2009</t>
  </si>
  <si>
    <t>Denise E. McKinney</t>
  </si>
  <si>
    <t>Junior High Ministry</t>
  </si>
  <si>
    <t>A Guide to Early Adolescence for Youth Workers</t>
  </si>
  <si>
    <t>BV1475.9 .R52 2010eb</t>
  </si>
  <si>
    <t>Church work with preteens.,Church work with teenagers.</t>
  </si>
  <si>
    <t>Instant Skits</t>
  </si>
  <si>
    <t>Using Improv to Create Memorable Moments in Ministry</t>
  </si>
  <si>
    <t>BV1534.4</t>
  </si>
  <si>
    <t>Christian drama, American.,Church group work with youth.,Drama in Christian education.</t>
  </si>
  <si>
    <t>The Skit Guys</t>
  </si>
  <si>
    <t>Inside the Mind of Youth Pastors</t>
  </si>
  <si>
    <t>A Church Leaderâ€™s Guide to Staffing and Leading Youth Pastors</t>
  </si>
  <si>
    <t>Mark Riddle</t>
  </si>
  <si>
    <t>Imaginative Prayer for Youth Ministry</t>
  </si>
  <si>
    <t>A Guide to Transforming Your Students' Spiritual Lives Into Journey, Adventure, and Encounter</t>
  </si>
  <si>
    <t>Jeannie Oestreicher-Larry Warner</t>
  </si>
  <si>
    <t>If I Knew Then What I Know Now</t>
  </si>
  <si>
    <t>Youth Workers Share Their Worst Failures and Best Advice</t>
  </si>
  <si>
    <t>BV4447.W665 2009</t>
  </si>
  <si>
    <t>Len Woods</t>
  </si>
  <si>
    <t>Crowd Breakers and Mixers 2</t>
  </si>
  <si>
    <t>BV1485 .C76 2003</t>
  </si>
  <si>
    <t>Christian education of young people.,Religion.</t>
  </si>
  <si>
    <t>The Ideas Library</t>
  </si>
  <si>
    <t>How to Speak to Youth... And Keep Them Awake at the Same Time</t>
  </si>
  <si>
    <t>A Step-by-Step Guide for Improving Your Talks</t>
  </si>
  <si>
    <t>RELIGION / Christianity / Christian Science</t>
  </si>
  <si>
    <t>Help! My Kids Are Hurting</t>
  </si>
  <si>
    <t>A Survival Guide to Working with Students in Pain</t>
  </si>
  <si>
    <t>Help! I'm a Student Leader</t>
  </si>
  <si>
    <t>Practical Ideas and Guidance on Leadership</t>
  </si>
  <si>
    <t>Help! I'm a Small-Group Leader!</t>
  </si>
  <si>
    <t>50 Ways to Lead Teenagers Into Animated and Purposeful Discussions</t>
  </si>
  <si>
    <t>BV4447 .P56 2007eb</t>
  </si>
  <si>
    <t>Church group work with teenagers.,Small groups--Religious aspects--Christianity.</t>
  </si>
  <si>
    <t>Help! I'm a Junior High Youth Worker!</t>
  </si>
  <si>
    <t>50 Ways to Survive and Thrive in Ministry to Early Adolescents</t>
  </si>
  <si>
    <t>BV4447.O47 1996</t>
  </si>
  <si>
    <t>Help! I'm a Frustrated Youth Worker!</t>
  </si>
  <si>
    <t>A Practical Guide to Avoiding Burnout in Your Ministry</t>
  </si>
  <si>
    <t>BV4447 .C3783 2009eb</t>
  </si>
  <si>
    <t>Burn out (Psychology)--Religious aspects--Christianity.,Church group work with youth.,Church work with youth.</t>
  </si>
  <si>
    <t>Hear and Do</t>
  </si>
  <si>
    <t>An Inductive Study in James</t>
  </si>
  <si>
    <t>Have You Ever... ?</t>
  </si>
  <si>
    <t>450 Intriguing Questions Guaranteed to Get Teenagers Talking</t>
  </si>
  <si>
    <t>Global Youth Ministry</t>
  </si>
  <si>
    <t>Reaching Adolescents Around the World</t>
  </si>
  <si>
    <t>Terry D. Linhart-David Livermore</t>
  </si>
  <si>
    <t>Girls' Ministry 101</t>
  </si>
  <si>
    <t>Ideas for Retreats, Small Groups, and Everyday Life with Teenage Girls</t>
  </si>
  <si>
    <t>Whitney Prosperi</t>
  </si>
  <si>
    <t>Gimme Five</t>
  </si>
  <si>
    <t>500 More Ways to Get Your Students Talking</t>
  </si>
  <si>
    <t>Getting Students to Show Up</t>
  </si>
  <si>
    <t>Practical Ideas for Any Outreach Event---from 10 to 10,000</t>
  </si>
  <si>
    <t>Church group work with teenagers.,Church work with students.,Church work with teenagers.,Evangelistic work.,Non-church-affiliated people.</t>
  </si>
  <si>
    <t>Games</t>
  </si>
  <si>
    <t>GV1203</t>
  </si>
  <si>
    <t>Group games.,Indoor games.,Youth--Recreation.</t>
  </si>
  <si>
    <t>Experiential Storytelling</t>
  </si>
  <si>
    <t>(Re) Discovering Narrative to Communicate God's Message</t>
  </si>
  <si>
    <t>BV4235.S76</t>
  </si>
  <si>
    <t>Preaching.,Storytelling--Religious aspects--Christianity.</t>
  </si>
  <si>
    <t>Mark Miller</t>
  </si>
  <si>
    <t>Evangelism Remixed</t>
  </si>
  <si>
    <t>Empowering Students for Courageous and Contagious Faith</t>
  </si>
  <si>
    <t>Dave Rahn-Terry D. Linhart</t>
  </si>
  <si>
    <t>Emerging Worship</t>
  </si>
  <si>
    <t>Creating Worship Gatherings for New Generations</t>
  </si>
  <si>
    <t>BV15.K49 2004</t>
  </si>
  <si>
    <t>Drama, Skits, and Sketches 3</t>
  </si>
  <si>
    <t>For Youth Groups</t>
  </si>
  <si>
    <t>BV4447 .D73 2010</t>
  </si>
  <si>
    <t>Church group work with youth.,Church work with youth.,Drama in Christian education.</t>
  </si>
  <si>
    <t>Drama, Skits, and Sketches</t>
  </si>
  <si>
    <t>Church group work with youth.,Drama in Christian education.</t>
  </si>
  <si>
    <t>Do They Run When They See You Coming?</t>
  </si>
  <si>
    <t>Reaching Out to Unchurched Teenagers</t>
  </si>
  <si>
    <t>Church work with students.,Church work with teenagers.,Non-church-affiliated people.</t>
  </si>
  <si>
    <t>Deep Ministry in a Shallow World</t>
  </si>
  <si>
    <t>Not-So-Secret Findings About Youth Ministry</t>
  </si>
  <si>
    <t>Chap Clark-Kara Powell</t>
  </si>
  <si>
    <t>Deep Justice in a Broken World</t>
  </si>
  <si>
    <t>Helping Your Kids Serve Others and Right the Wrongs Around Them</t>
  </si>
  <si>
    <t>Deal With It</t>
  </si>
  <si>
    <t>A 12 Week Study on Teenage Girls' Anger</t>
  </si>
  <si>
    <t>Mary Huebner</t>
  </si>
  <si>
    <t>Crowd Breakers and Mixers</t>
  </si>
  <si>
    <t>BV4447.I33</t>
  </si>
  <si>
    <t>Church group work with youth.,Church work with youth.,Group games.,Indoor games.,Youth--Recreation.</t>
  </si>
  <si>
    <t>Consuming Youth</t>
  </si>
  <si>
    <t>Navigating Youth From Being Consumers to Being Consumed</t>
  </si>
  <si>
    <t>John Berard-James Penner-Rick Bartlett</t>
  </si>
  <si>
    <t>Connect</t>
  </si>
  <si>
    <t>Real Relationships in a World of Isolation</t>
  </si>
  <si>
    <t>BV4447.M2365 2009</t>
  </si>
  <si>
    <t>College Ministry From Scratch</t>
  </si>
  <si>
    <t>A Practical Guide to Start and Sustain a Successful College Ministry</t>
  </si>
  <si>
    <t>BV639.C6 B66 2010eb</t>
  </si>
  <si>
    <t>Christian college students--Religious life.,Church work with college students.</t>
  </si>
  <si>
    <t>Clear</t>
  </si>
  <si>
    <t>8 Lessons on the Theological Foundations of Faith</t>
  </si>
  <si>
    <t>Chris Folmsbee</t>
  </si>
  <si>
    <t>Choose Your Top 3</t>
  </si>
  <si>
    <t>500 Dynamic Discussion Starters to Get Your Teenagers Talking</t>
  </si>
  <si>
    <t>Choose</t>
  </si>
  <si>
    <t>Steer Wide of Total Stupidity</t>
  </si>
  <si>
    <t>Camps, Retreats, Missions, and Service Ideas</t>
  </si>
  <si>
    <t>Church camps.,Church group work with youth.,Church work with youth.</t>
  </si>
  <si>
    <t>Better Safe Than Sued</t>
  </si>
  <si>
    <t>Keeping Your Students and Ministry Alive</t>
  </si>
  <si>
    <t>BV4447 .C73 2008</t>
  </si>
  <si>
    <t>Accidents--Prevention.,Church group work with youth.,Liability (Law)--United States--Popular works.,Religion.,Safety education.</t>
  </si>
  <si>
    <t>Best of Play It!</t>
  </si>
  <si>
    <t>GV1201.P53 2000</t>
  </si>
  <si>
    <t>Wayne Rice-Mike Yaconelli</t>
  </si>
  <si>
    <t>A Youth Worker's Commentary on John, Vol 1</t>
  </si>
  <si>
    <t>Volume 1</t>
  </si>
  <si>
    <t>BS2616 .C47 2011eb v.1</t>
  </si>
  <si>
    <t>A Youth Worker's Commentary on John</t>
  </si>
  <si>
    <t>A Tale of Two Youth Workers</t>
  </si>
  <si>
    <t>A Youth Ministry Fable</t>
  </si>
  <si>
    <t>Eric Venable</t>
  </si>
  <si>
    <t>A Parent's Guide to Helping Teenagers in Crisis</t>
  </si>
  <si>
    <t>BV4529</t>
  </si>
  <si>
    <t>Christian teenagers--Religious life.,Parent and teenager--Religious aspects--Christianity.,Parenting--Religious aspects--Christianity.</t>
  </si>
  <si>
    <t>A New Kind of Youth Ministry</t>
  </si>
  <si>
    <t>Chronological and Background Charts of Church History</t>
  </si>
  <si>
    <t>BR149 .W25 2005eb</t>
  </si>
  <si>
    <t>Church history--Chronology--Charts, diagrams, etc.</t>
  </si>
  <si>
    <t>Robert C. Walton</t>
  </si>
  <si>
    <t>Zondervan Charts</t>
  </si>
  <si>
    <t>Three Views on the Rapture</t>
  </si>
  <si>
    <t>Pretribulation, Prewrath, or Posttribulation</t>
  </si>
  <si>
    <t>BT887.R37 2010eb</t>
  </si>
  <si>
    <t>Rapture (Christian eschatology),Religion.,Tribulation (Christian eschatology)</t>
  </si>
  <si>
    <t>Craig A. Blaising-Douglas J. Moo</t>
  </si>
  <si>
    <t>Evangelical Scholarship, Retrospects and Prospects</t>
  </si>
  <si>
    <t>Essays in Honor of Stanley N. Gundry</t>
  </si>
  <si>
    <t>Zondervan-Verlyn Verbrugge</t>
  </si>
  <si>
    <t>A User-Friendly Look at the Bibleâ€™s Most Complicated Book</t>
  </si>
  <si>
    <t>BS2825.55 .C655 2018eb</t>
  </si>
  <si>
    <t>Douglas Connelly</t>
  </si>
  <si>
    <t>[Enhanced Credo edition]</t>
  </si>
  <si>
    <t>Visual Theology Study Guide</t>
  </si>
  <si>
    <t>Seeing and Understanding the Truth About God</t>
  </si>
  <si>
    <t>Christian life.,Religion.,Theology, Doctrinal--Popular works.,Theology.</t>
  </si>
  <si>
    <t>Tim Challies-Josh Byers-Zach Dietrich</t>
  </si>
  <si>
    <t>Introduction to Biblical Hermeneutics</t>
  </si>
  <si>
    <t>The Search for Meaning</t>
  </si>
  <si>
    <t>BS476.K33 1994</t>
  </si>
  <si>
    <t>Hermeneutics--Religious aspects--Christianity.</t>
  </si>
  <si>
    <t>Walter C. Kaiser, Jr.-MoisÃ©s Silva</t>
  </si>
  <si>
    <t>Matthew 1-13, Volume 33A</t>
  </si>
  <si>
    <t>BS2575.3 .H336 1993eb v.1</t>
  </si>
  <si>
    <t>Donald A. Hagner</t>
  </si>
  <si>
    <t>1 Samuel, Volume 10</t>
  </si>
  <si>
    <t>BS491.2 .W67 2000eb</t>
  </si>
  <si>
    <t>Dr. Ralph W. Klein</t>
  </si>
  <si>
    <t>The Expositor's Bible Commentary - Abridged Edition: New Testament</t>
  </si>
  <si>
    <t>BS491.2 .Z65 1994</t>
  </si>
  <si>
    <t>Abridged edition</t>
  </si>
  <si>
    <t>The Expositor's Bible Commentary - Abridged Edition: Old Testament</t>
  </si>
  <si>
    <t>BS1151.2 .E95 1994</t>
  </si>
  <si>
    <t>Kenneth L. Barker-John R. Kohlenberger III-Verlyn Verbrugge-Richard Polcyn</t>
  </si>
  <si>
    <t>How We Got the Bible</t>
  </si>
  <si>
    <t>A Visual Journey</t>
  </si>
  <si>
    <t>BS445.A76 2007</t>
  </si>
  <si>
    <t>Zondervan Visual Reference Series</t>
  </si>
  <si>
    <t>Mere Sexuality</t>
  </si>
  <si>
    <t>Rediscovering the Christian Vision of Sexuality</t>
  </si>
  <si>
    <t>Religion.,Sex--Biblical teaching.,Sex--Religious aspects--Christianity.</t>
  </si>
  <si>
    <t>Todd A. Wilson</t>
  </si>
  <si>
    <t>Retrieving Eternal Generation</t>
  </si>
  <si>
    <t>BT216.3 .R48 2017eb</t>
  </si>
  <si>
    <t>Trinity--History of doctrines.</t>
  </si>
  <si>
    <t>Fred Sanders-Scott R. Swain</t>
  </si>
  <si>
    <t>The Task of Dogmatics</t>
  </si>
  <si>
    <t>Explorations in Theological Method</t>
  </si>
  <si>
    <t>BT19</t>
  </si>
  <si>
    <t>Dogma--Congresses.,Theology, Doctrinal--Congresses.</t>
  </si>
  <si>
    <t>Four Views on Creation, Evolution, and Intelligent Design</t>
  </si>
  <si>
    <t>BS651</t>
  </si>
  <si>
    <t>Beginning.,Creationism.,Evolution.,Intelligent design (Teleology)</t>
  </si>
  <si>
    <t>Counterpoints. Bible &amp; Theology</t>
  </si>
  <si>
    <t>Four Views on the Church's Mission</t>
  </si>
  <si>
    <t>RELIGION / Christian Theology / Ecclesiology</t>
  </si>
  <si>
    <t>Mission of the church.</t>
  </si>
  <si>
    <t>ReSourcing Theological Anthropology</t>
  </si>
  <si>
    <t>A Constructive Account of Humanity in the Light of Christ</t>
  </si>
  <si>
    <t>Theological anthropology--Christianity.</t>
  </si>
  <si>
    <t>Marc Cortez</t>
  </si>
  <si>
    <t>Does God Still Guide?</t>
  </si>
  <si>
    <t>J. Sidlow Baxter</t>
  </si>
  <si>
    <t>J. Sidlow Baxter Library</t>
  </si>
  <si>
    <t>Daily Wings</t>
  </si>
  <si>
    <t>Meditations for Every Day of the Year</t>
  </si>
  <si>
    <t>Awake My Heart</t>
  </si>
  <si>
    <t>Daily Devotional Meditations for the Year</t>
  </si>
  <si>
    <t>A New Call To Holiness</t>
  </si>
  <si>
    <t>A Restudy and Restatement of New Testament Teaching Concerning Christian Sanctification</t>
  </si>
  <si>
    <t>Our High Calling</t>
  </si>
  <si>
    <t>A Series of Devotional and Practical Studies in the New Testament Doctrine of Personal Sanctification</t>
  </si>
  <si>
    <t>His Deeper Work In Us</t>
  </si>
  <si>
    <t>An Inquiry Into New Testament Teaching on the Subject of Christian Holiness</t>
  </si>
  <si>
    <t>Rethinking Our Priorities</t>
  </si>
  <si>
    <t>The Church: Its Pastor and People</t>
  </si>
  <si>
    <t>BR1640 .B38eb</t>
  </si>
  <si>
    <t>Evangelicalism.</t>
  </si>
  <si>
    <t>His Part And Ours</t>
  </si>
  <si>
    <t>God's Promises and Our Responsibilities in the Christian Life</t>
  </si>
  <si>
    <t>Going Deeper</t>
  </si>
  <si>
    <t>The Problem of God</t>
  </si>
  <si>
    <t>Apologetics.,God (Christianity)</t>
  </si>
  <si>
    <t>Katie Luther, First Lady of the Reformation</t>
  </si>
  <si>
    <t>The Unconventional Life of Katharina Von Bora</t>
  </si>
  <si>
    <t>BR328</t>
  </si>
  <si>
    <t>Lutheran Church--Germany.,Reformation--Germany.</t>
  </si>
  <si>
    <t>Ruth A. Tucker</t>
  </si>
  <si>
    <t>How to Lead When You're Not in Charge</t>
  </si>
  <si>
    <t>BV652.1 .S376 2017eb</t>
  </si>
  <si>
    <t>Leadership.,Leadership--Religious aspects--Christianity.</t>
  </si>
  <si>
    <t>Was the Reformation a Mistake?</t>
  </si>
  <si>
    <t>Why Catholic Doctrine Is Not Unbiblical</t>
  </si>
  <si>
    <t>BX1752</t>
  </si>
  <si>
    <t>Church history.,Reformation.</t>
  </si>
  <si>
    <t>Matthew Levering-Kevin J. Vanhoozer</t>
  </si>
  <si>
    <t>MultiChurch</t>
  </si>
  <si>
    <t>Exploring the Future of Multisite</t>
  </si>
  <si>
    <t>BX1913 .H687 2017eb</t>
  </si>
  <si>
    <t>Brad House-Gregg Allison</t>
  </si>
  <si>
    <t>Gender Roles and the People of God</t>
  </si>
  <si>
    <t>Rethinking What We Were Taught About Men and Women in the Church</t>
  </si>
  <si>
    <t>Sex role--Religious aspects--Christianity.,Women in Christianity.,Women--Religious aspects--Christianity.</t>
  </si>
  <si>
    <t>Alice Mathews</t>
  </si>
  <si>
    <t>Devotions on the Greek New Testament, Volume Two</t>
  </si>
  <si>
    <t>52 Reflections to Inspire and Instruct</t>
  </si>
  <si>
    <t>Paul Norman Jackson</t>
  </si>
  <si>
    <t>All But Invisible</t>
  </si>
  <si>
    <t>Exploring Identity Questions at the Intersection of Faith, Gender, and Sexuality</t>
  </si>
  <si>
    <t>Nate Collins</t>
  </si>
  <si>
    <t>Know Why You Believe</t>
  </si>
  <si>
    <t>KNOW Series</t>
  </si>
  <si>
    <t>Known by God</t>
  </si>
  <si>
    <t>A Biblical Theology of Personal Identity</t>
  </si>
  <si>
    <t>Religion.,Theological anthropology.,Theology.</t>
  </si>
  <si>
    <t>Brian S. Rosner</t>
  </si>
  <si>
    <t>An Hour on Sunday</t>
  </si>
  <si>
    <t>Creating Moments of Transformation and Wonder</t>
  </si>
  <si>
    <t>Nancy Beach</t>
  </si>
  <si>
    <t>Spiritual Leadership Today</t>
  </si>
  <si>
    <t>Having Deep Influence in Every Walk of Life</t>
  </si>
  <si>
    <t>Rediscovering the Holy Spirit</t>
  </si>
  <si>
    <t>Godâ€™s Perfecting Presence in Creation, Redemption, and Everyday Life</t>
  </si>
  <si>
    <t>BT121.3</t>
  </si>
  <si>
    <t>Holy Spirit.</t>
  </si>
  <si>
    <t>Practicing the Power</t>
  </si>
  <si>
    <t>Welcoming the Gifts of the Holy Spirit in Your Life</t>
  </si>
  <si>
    <t>BT767.3 .S77 2017eb</t>
  </si>
  <si>
    <t>Gifts, Spiritual.,Holy Spirit.</t>
  </si>
  <si>
    <t>Reaching the Unreached</t>
  </si>
  <si>
    <t>Becoming Raiders of the Lost Art</t>
  </si>
  <si>
    <t>The Forgotten Jesus</t>
  </si>
  <si>
    <t>How Western Christians Should Follow an Eastern Rabbi</t>
  </si>
  <si>
    <t>BT590.J8</t>
  </si>
  <si>
    <t>Robby Gallaty</t>
  </si>
  <si>
    <t>The Essentials of Christian Thought</t>
  </si>
  <si>
    <t>Seeing Reality Through the Biblical Story</t>
  </si>
  <si>
    <t>Christian philosophy.,Christianity--Philosophy.,Religion.</t>
  </si>
  <si>
    <t>Dictionary of Christianity and Science</t>
  </si>
  <si>
    <t>The Definitive Reference for the Intersection of Christian Faith and Contemporary Science</t>
  </si>
  <si>
    <t>BL240.3 .D53 2017eb</t>
  </si>
  <si>
    <t>Religion and science--Dictionaries.,Theology--Dictionaries.</t>
  </si>
  <si>
    <t>Letting Go</t>
  </si>
  <si>
    <t>Rugged Love for Wayward Souls</t>
  </si>
  <si>
    <t>Dave Harvey-Paul Gilbert</t>
  </si>
  <si>
    <t>Tweetable Nietzsche</t>
  </si>
  <si>
    <t>His Essential Ideas Revealed and Explained</t>
  </si>
  <si>
    <t>PHILOSOPHY / Ethics &amp; Moral Philosophy</t>
  </si>
  <si>
    <t>B3317</t>
  </si>
  <si>
    <t>C. Ivan Spencer</t>
  </si>
  <si>
    <t>Serving Local Schools</t>
  </si>
  <si>
    <t>Bring Christ's Compassion to the Core of Your Community</t>
  </si>
  <si>
    <t>BV4403</t>
  </si>
  <si>
    <t>Church and education.,Church work--United States.,Public schools.</t>
  </si>
  <si>
    <t>Two Views on Homosexuality, the Bible, and the Church</t>
  </si>
  <si>
    <t>Bible and homosexuality.,Homosexuality--Religious aspects--Christianity.</t>
  </si>
  <si>
    <t>At Home in Exile</t>
  </si>
  <si>
    <t>Finding Jesus Among My Ancestors and Refugee Neighbors</t>
  </si>
  <si>
    <t>BR1725.J48 A3 2016eb</t>
  </si>
  <si>
    <t>Chinese Americans--Religion.,Christian biography--California.,Evangelistic work--California--Oakland.</t>
  </si>
  <si>
    <t>Russell Jeung</t>
  </si>
  <si>
    <t>Evolution: Scripture and Nature Say Yes</t>
  </si>
  <si>
    <t>Denis Lamoureux</t>
  </si>
  <si>
    <t>The Worship Pastor</t>
  </si>
  <si>
    <t>A Call to Ministry for Worship Leaders and Teams</t>
  </si>
  <si>
    <t>ML3001 .H53 2016</t>
  </si>
  <si>
    <t>Ministers of music.,Music in churches.,Religion.</t>
  </si>
  <si>
    <t>Zac M. Hicks</t>
  </si>
  <si>
    <t>Lay Counseling, Revised and Updated</t>
  </si>
  <si>
    <t>Equipping Christians for a Helping Ministry</t>
  </si>
  <si>
    <t>BV4409</t>
  </si>
  <si>
    <t>Peer counseling in the church.</t>
  </si>
  <si>
    <t>Siang-Yang Tan-Eric T. Scalise</t>
  </si>
  <si>
    <t>Grace Alone---Salvation As a Gift of God</t>
  </si>
  <si>
    <t>What the Reformers Taughts...and Why It Still Matters</t>
  </si>
  <si>
    <t>BT761.3 .T78 2017eb</t>
  </si>
  <si>
    <t>Grace (Theology),Reformation.,Religion.,Salvation--Christianity.</t>
  </si>
  <si>
    <t>Carl R. Trueman</t>
  </si>
  <si>
    <t>The Five Solas Series</t>
  </si>
  <si>
    <t>Christ Alone---The Uniqueness of Jesus As Savior</t>
  </si>
  <si>
    <t>What the Reformers Taught...and Why It Still Matters</t>
  </si>
  <si>
    <t>Stephen Wellum</t>
  </si>
  <si>
    <t>The 5 Solas Series</t>
  </si>
  <si>
    <t>Jeremiah 1-25, Volume 26</t>
  </si>
  <si>
    <t>BS1525.3 .C72 1991eb v.1</t>
  </si>
  <si>
    <t>Peter C. Craigie-Paige Kelley-Dr. Joel F. Drinkard</t>
  </si>
  <si>
    <t>Jeremiah 26-52, Volume 27</t>
  </si>
  <si>
    <t>Dr. Gerald Keown-Pamela Scalise-Thomas G. Smothers</t>
  </si>
  <si>
    <t>World Biblical Commentary</t>
  </si>
  <si>
    <t>Psalms 1-50, Volume 19</t>
  </si>
  <si>
    <t>BS1430.3 .C73 2004eb</t>
  </si>
  <si>
    <t>Peter C. Craigie-Marvin Tate</t>
  </si>
  <si>
    <t>All the Miracles of the Bible</t>
  </si>
  <si>
    <t>BT97.2</t>
  </si>
  <si>
    <t>Miracles.,Religion.</t>
  </si>
  <si>
    <t>Answering Jihad</t>
  </si>
  <si>
    <t>A Better Way Forward</t>
  </si>
  <si>
    <t>BP182</t>
  </si>
  <si>
    <t>Christianity and other religions--Islam.,Islam--Religious aspects--Christianity.,Jihad.,Missions to Muslims.</t>
  </si>
  <si>
    <t>Sticky Leaders</t>
  </si>
  <si>
    <t>The Secret to Lasting Change and Innovation</t>
  </si>
  <si>
    <t>HD53</t>
  </si>
  <si>
    <t>Zondervan Handbook of Biblical Archaeology</t>
  </si>
  <si>
    <t>A Book by Book Guide to Archaeological Discoveries Related to the Bible</t>
  </si>
  <si>
    <t>BS621</t>
  </si>
  <si>
    <t>J. Randall Price-H. Wayne House</t>
  </si>
  <si>
    <t>The Disciple Maker's Handbook</t>
  </si>
  <si>
    <t>Seven Elements of a Discipleship Lifestyle</t>
  </si>
  <si>
    <t>Bobby Harrington-Josh Robert Patrick</t>
  </si>
  <si>
    <t>For a New Generation</t>
  </si>
  <si>
    <t>A Practical Guide for Revitalizing Your Church</t>
  </si>
  <si>
    <t>Lee D. Kricher</t>
  </si>
  <si>
    <t>Near Christianity</t>
  </si>
  <si>
    <t>How Journeys Along Jewish-Christian Borders Saved My Faith in God</t>
  </si>
  <si>
    <t>Anthony Le Donne</t>
  </si>
  <si>
    <t>No God but One: Allah or Jesus? (with Bonus Content)</t>
  </si>
  <si>
    <t>A Former Muslim Investigates the Evidence for Islam and Christianity</t>
  </si>
  <si>
    <t>BP172 .Q7185 2016eb</t>
  </si>
  <si>
    <t>Christianity and other religions--Islam.,Islam--Doctrines.,Islam--Relations--Christianity.,Theology, Doctrinal.</t>
  </si>
  <si>
    <t>Vegangelical</t>
  </si>
  <si>
    <t>How Caring for Animals Can Shape Your Faith</t>
  </si>
  <si>
    <t>Sarah Withrow King</t>
  </si>
  <si>
    <t>Kierkegaard</t>
  </si>
  <si>
    <t>A Single Life</t>
  </si>
  <si>
    <t>Children's Ministry on Purpose</t>
  </si>
  <si>
    <t>A Purpose Driven Approach to Lead Kids Toward Spiritual Health</t>
  </si>
  <si>
    <t>Steven J. Adams</t>
  </si>
  <si>
    <t>Introducing Christian Ethics</t>
  </si>
  <si>
    <t>A Short Guide to Making Moral Choices</t>
  </si>
  <si>
    <t>Four Views on Christianity and Philosophy</t>
  </si>
  <si>
    <t>BR100 .F6717 2016eb</t>
  </si>
  <si>
    <t>Christian philosophy.,Philosophy and religion.</t>
  </si>
  <si>
    <t>2 Kings, Volume 13</t>
  </si>
  <si>
    <t>BS1335.3 .H633 1985eb</t>
  </si>
  <si>
    <t>Isaiah 1-33, Volume 24</t>
  </si>
  <si>
    <t>BS1515.3 .W367 2015eb</t>
  </si>
  <si>
    <t>Ecclesiastes, Volume 23A</t>
  </si>
  <si>
    <t>BS1475.3</t>
  </si>
  <si>
    <t>2 Samuel, Volume 11</t>
  </si>
  <si>
    <t>BS1325.3</t>
  </si>
  <si>
    <t>Arnold A. Anderson</t>
  </si>
  <si>
    <t>Ezekiel 1-19, Volume 28</t>
  </si>
  <si>
    <t>BS1545.3 .A45 1994</t>
  </si>
  <si>
    <t>Ezekiel 20-48, Volume 29</t>
  </si>
  <si>
    <t>BS1545.3 .A442 2018</t>
  </si>
  <si>
    <t>1 Chronicles, Volume 14</t>
  </si>
  <si>
    <t>Psalms 101-150, Volume 21</t>
  </si>
  <si>
    <t>BS1430.3</t>
  </si>
  <si>
    <t>Revised</t>
  </si>
  <si>
    <t>Deuteronomy 21:10-34:12, Volume 6B</t>
  </si>
  <si>
    <t>BS491.2 .C47 2018</t>
  </si>
  <si>
    <t>Duane Christensen</t>
  </si>
  <si>
    <t>Word Biblical Commentary Ser</t>
  </si>
  <si>
    <t>Matthew 14-28, Volume 33B</t>
  </si>
  <si>
    <t>BS2575.3 .H336 1993eb v.2</t>
  </si>
  <si>
    <t>Isaiah 34-66, Volume 25</t>
  </si>
  <si>
    <t>BS1515.3</t>
  </si>
  <si>
    <t>Prophets.</t>
  </si>
  <si>
    <t>Core Christianity</t>
  </si>
  <si>
    <t>Finding Yourself in God's Story</t>
  </si>
  <si>
    <t>Integrity at Stake</t>
  </si>
  <si>
    <t>Safeguarding Your Church From Financial Fraud</t>
  </si>
  <si>
    <t>Rollie Neal Dimos</t>
  </si>
  <si>
    <t>How to Preach and Teach the Old Testament for All Its Worth</t>
  </si>
  <si>
    <t>BS1191.5 .W75 2016eb</t>
  </si>
  <si>
    <t>More</t>
  </si>
  <si>
    <t>Find Your Personal Calling and Live Life to the Fullest Measure</t>
  </si>
  <si>
    <t>Todd Wilson</t>
  </si>
  <si>
    <t>Sticky Faith Service Guide</t>
  </si>
  <si>
    <t>Moving Students From Mission Trips to Missional Living</t>
  </si>
  <si>
    <t>Church work with students.,Church work with young adults.,Church work with youth.,Missions--Study and teaching.</t>
  </si>
  <si>
    <t>Relational Children's Ministry</t>
  </si>
  <si>
    <t>Turning Kid-Influencers Into Lifelong Disciple Makers</t>
  </si>
  <si>
    <t>Dan Lovaglia</t>
  </si>
  <si>
    <t>Discipleship That Fits</t>
  </si>
  <si>
    <t>The Five Kinds of Relationships God Uses to Help Us Grow</t>
  </si>
  <si>
    <t>Discipling (Christianity)</t>
  </si>
  <si>
    <t>Bobby Harrington-Alex Absalom</t>
  </si>
  <si>
    <t>Mentor for Life</t>
  </si>
  <si>
    <t>Finding Purpose Through Intentional Discipleship</t>
  </si>
  <si>
    <t>BV4408.5</t>
  </si>
  <si>
    <t>Christian women--Religious life.,Church work with women.,Discipling (Christianity),Mentoring--Religious aspects--Christianity.</t>
  </si>
  <si>
    <t>Natasha Sistrunk Robinson</t>
  </si>
  <si>
    <t>Paradox Lost</t>
  </si>
  <si>
    <t>Rediscovering the Mystery of God</t>
  </si>
  <si>
    <t>Richard P. Hansen</t>
  </si>
  <si>
    <t>A Theology of Biblical Counseling</t>
  </si>
  <si>
    <t>The Doctrinal Foundations of Counseling Ministry</t>
  </si>
  <si>
    <t>Counseling--Religious aspects--Christianity.,Theology.</t>
  </si>
  <si>
    <t>Heath Lambert</t>
  </si>
  <si>
    <t>The Christian Leader</t>
  </si>
  <si>
    <t>Rehabilitating Our Addiction to Secular Leadership</t>
  </si>
  <si>
    <t>Bill Hull</t>
  </si>
  <si>
    <t>Black and White Bible, Black and Blue Wife</t>
  </si>
  <si>
    <t>My Story of Finding Hope After Domestic Abuse</t>
  </si>
  <si>
    <t>BV4596.A2</t>
  </si>
  <si>
    <t>Family violence--Religious aspects--Christianity.,Interpersonal relations--Religious aspects--Christianity.,Marriage--Religious aspects--Christianity.,Sex crimes--Religious aspects--Christianity.,Sex role--Religious aspects--Christianity.</t>
  </si>
  <si>
    <t>Small Matters</t>
  </si>
  <si>
    <t>How Churches and Parents Can Raise Up World-Changing Children</t>
  </si>
  <si>
    <t>Greg Nettle-Santiago Heriberto Mellado</t>
  </si>
  <si>
    <t>Cultural Anthropology</t>
  </si>
  <si>
    <t>A Christian Perspective</t>
  </si>
  <si>
    <t>BR115.C8 G76</t>
  </si>
  <si>
    <t>Anthropology.,Christianity and culture.</t>
  </si>
  <si>
    <t>Stephen A. Grunlan-Marvin K. Mayers</t>
  </si>
  <si>
    <t>Devotions on the Greek New Testament</t>
  </si>
  <si>
    <t>Preaching the Whole Counsel of God</t>
  </si>
  <si>
    <t>Design and Deliver Gospel-Centered Sermons</t>
  </si>
  <si>
    <t>BV4211.3</t>
  </si>
  <si>
    <t>Julius Kim</t>
  </si>
  <si>
    <t>Conversion and Discipleship</t>
  </si>
  <si>
    <t>You Can't Have One Without the Other</t>
  </si>
  <si>
    <t>Conversion--Christianity.,Discipling (Christianity),Spiritual formation.</t>
  </si>
  <si>
    <t>New International Dictionary of New Testament Theology</t>
  </si>
  <si>
    <t>Abridged Edition</t>
  </si>
  <si>
    <t>RELIGION / Biblical Reference / Dictionaries &amp; Encyclopedias</t>
  </si>
  <si>
    <t>BS2397.N48 2003</t>
  </si>
  <si>
    <t>Pray for the Flock</t>
  </si>
  <si>
    <t>Ministering God's Grace Through Intercession</t>
  </si>
  <si>
    <t>Brian Croft-Ryan Fullerton</t>
  </si>
  <si>
    <t>Practical Shepherding Series</t>
  </si>
  <si>
    <t>Oversee God's People</t>
  </si>
  <si>
    <t>Shepherding the Flock Through Administration and Delegation</t>
  </si>
  <si>
    <t>Brian Croft-Bryce Butler</t>
  </si>
  <si>
    <t>Volunteering</t>
  </si>
  <si>
    <t>A Guide to Serving in the Body of Christ</t>
  </si>
  <si>
    <t>Leith Anderson-Jill Fox</t>
  </si>
  <si>
    <t>The Volunteer Church</t>
  </si>
  <si>
    <t>Mobilizing Your Congregation for Growth and Effectiveness</t>
  </si>
  <si>
    <t>BV652.13</t>
  </si>
  <si>
    <t>Gaining By Losing</t>
  </si>
  <si>
    <t>Why the Future Belongs to Churches That Send</t>
  </si>
  <si>
    <t>Deuteronomy 1-21:9, Volume 6A</t>
  </si>
  <si>
    <t>BS1275.53</t>
  </si>
  <si>
    <t>Guarding the Gospel: Bible, Cross and Mission</t>
  </si>
  <si>
    <t>Greek for the Rest of Us</t>
  </si>
  <si>
    <t>The Essentials of Biblical Greek</t>
  </si>
  <si>
    <t>PA817 .M655 2013eb</t>
  </si>
  <si>
    <t>Greek language, Biblical--Grammar.</t>
  </si>
  <si>
    <t>Gather God's People</t>
  </si>
  <si>
    <t>Understand, Plan, and Lead Worship in Your Local Church</t>
  </si>
  <si>
    <t>Brian Croft-Jason Adkins</t>
  </si>
  <si>
    <t>Comfort the Grieving</t>
  </si>
  <si>
    <t>Ministering God's Grace in Times of Loss</t>
  </si>
  <si>
    <t>BV4330</t>
  </si>
  <si>
    <t>Paul Tautges</t>
  </si>
  <si>
    <t>Dedicated</t>
  </si>
  <si>
    <t>Training Your Children to Trust and Follow Jesus</t>
  </si>
  <si>
    <t>Jason Houser-Bobby Harrington-Chad Harrington</t>
  </si>
  <si>
    <t>The Pastor's Ministry</t>
  </si>
  <si>
    <t>Biblical Priorities for Faithful Shepherds</t>
  </si>
  <si>
    <t>BS2545.P45</t>
  </si>
  <si>
    <t>Pastoral theology--Biblical teaching.</t>
  </si>
  <si>
    <t>Brian Croft</t>
  </si>
  <si>
    <t>Thriving Through Ministry Conflict</t>
  </si>
  <si>
    <t>A Parable on How Resistance Can Be Your Ally</t>
  </si>
  <si>
    <t>James P. Osterhaus-Joseph M. Jurkowski-Todd A. Hahn</t>
  </si>
  <si>
    <t>Escape From Church, Inc.</t>
  </si>
  <si>
    <t>The Return of the Pastor-Shepherd</t>
  </si>
  <si>
    <t>E. Glenn Wagner</t>
  </si>
  <si>
    <t>Adventures in Missing the Point</t>
  </si>
  <si>
    <t>How the Culture-Controlled Church Neutered the Gospel</t>
  </si>
  <si>
    <t>Brian D. McLaren-Tony Campolo</t>
  </si>
  <si>
    <t>The Equipping Church</t>
  </si>
  <si>
    <t>Serving Together to Transform Lives</t>
  </si>
  <si>
    <t>BV677 .M34 2001eb</t>
  </si>
  <si>
    <t>Lay ministry.</t>
  </si>
  <si>
    <t>Sue Mallory</t>
  </si>
  <si>
    <t>James, 1-2 Peter, and 1-3 John</t>
  </si>
  <si>
    <t>Unleashing the Word</t>
  </si>
  <si>
    <t>Rediscovering the Public Reading of Scripture</t>
  </si>
  <si>
    <t>Oral reading.,Reading in public worship.</t>
  </si>
  <si>
    <t>Max McLean-Warren Bird</t>
  </si>
  <si>
    <t>A Multi-Site Church Roadtrip</t>
  </si>
  <si>
    <t>Exploring the New Normal</t>
  </si>
  <si>
    <t>BV652.25 .S86 2009eb</t>
  </si>
  <si>
    <t>Multi-site churches.</t>
  </si>
  <si>
    <t>Geoff Surratt-Greg Ligon-Warren Bird</t>
  </si>
  <si>
    <t>Becoming a New Person in Christ</t>
  </si>
  <si>
    <t>Randy Frazee-Robert Noland</t>
  </si>
  <si>
    <t>Spiritual Depression</t>
  </si>
  <si>
    <t>Its Causes and Cures</t>
  </si>
  <si>
    <t>BX7233.L57 S6 2015eb</t>
  </si>
  <si>
    <t>Congregational churches--Sermons.,Depression, Mental--Religious aspects--Christianity.,Depression, Mental--Sermons.,Sermons, English.</t>
  </si>
  <si>
    <t>Bible Prophecy Made Clear</t>
  </si>
  <si>
    <t>A User-Friendly Look at the End Times</t>
  </si>
  <si>
    <t>BL48 .C666 2002eb</t>
  </si>
  <si>
    <t>Handbook of Church Discipline</t>
  </si>
  <si>
    <t>A Right and Privilege of Every Church Member</t>
  </si>
  <si>
    <t>BV740.A34 1986</t>
  </si>
  <si>
    <t>Jay E. Adams</t>
  </si>
  <si>
    <t>Preaching with Purpose</t>
  </si>
  <si>
    <t>The Urgent Task of Homiletics</t>
  </si>
  <si>
    <t>Shepherding God's Flock</t>
  </si>
  <si>
    <t>A Handbook on Pastoral Ministry, Counseling, and Leadership</t>
  </si>
  <si>
    <t>BV4011.A33 1986</t>
  </si>
  <si>
    <t>English Grammar to Ace Biblical Hebrew</t>
  </si>
  <si>
    <t>PE1130.H5V35 2010</t>
  </si>
  <si>
    <t>The Integration of Psychology and Theology</t>
  </si>
  <si>
    <t>An Introduction</t>
  </si>
  <si>
    <t>BR110</t>
  </si>
  <si>
    <t>John D. Carter-S. Bruce Narramore</t>
  </si>
  <si>
    <t>Two Views on Women in Ministry</t>
  </si>
  <si>
    <t>Women clergy.</t>
  </si>
  <si>
    <t>Zondervan-James R. Beck</t>
  </si>
  <si>
    <t>The Unbelievable Gospel</t>
  </si>
  <si>
    <t>Say Something Worth Believing</t>
  </si>
  <si>
    <t>Witness bearing (Christianity)</t>
  </si>
  <si>
    <t>Jonathan K. Dodson</t>
  </si>
  <si>
    <t>Shrink</t>
  </si>
  <si>
    <t>Faithful Ministry in a Church-Growth Culture</t>
  </si>
  <si>
    <t>BV600.3 .S88 2014eb</t>
  </si>
  <si>
    <t>Church development, New.,Church group work.,Church growth.,Church work.,Church.,Pastoral theology.</t>
  </si>
  <si>
    <t>Tim Suttle</t>
  </si>
  <si>
    <t>Thinking Through Paul</t>
  </si>
  <si>
    <t>A Survey of His Life, Letters, and Theology</t>
  </si>
  <si>
    <t>BS2650.52</t>
  </si>
  <si>
    <t>Todd D. Still-Bruce W. Longenecker</t>
  </si>
  <si>
    <t>Raised?</t>
  </si>
  <si>
    <t>Finding Jesus by Doubting the Resurrection</t>
  </si>
  <si>
    <t>Jonathan K. Dodson-Brad Watson</t>
  </si>
  <si>
    <t>Conduct Gospel-Centered Funerals</t>
  </si>
  <si>
    <t>Applying the Gospel at the Unique Challenges of Death</t>
  </si>
  <si>
    <t>Brian Croft-Phil A. Newton</t>
  </si>
  <si>
    <t>Prepare Them to Shepherd</t>
  </si>
  <si>
    <t>Test, Train, Affirm, and Send the Next Generation of Pastors</t>
  </si>
  <si>
    <t>BV4165</t>
  </si>
  <si>
    <t>Clergy--Post-ordination training.,Discipling (Christianity),Theology--Study and teaching (Continuing education)</t>
  </si>
  <si>
    <t>Visit the Sick</t>
  </si>
  <si>
    <t>Ministering Godâ€™s Grace in Times of Illness</t>
  </si>
  <si>
    <t>Blur</t>
  </si>
  <si>
    <t>A New Paradigm for Understanding Youth Culture</t>
  </si>
  <si>
    <t>Church group work with youth.,Church work with youth.,Youth.</t>
  </si>
  <si>
    <t>Jeffrey Keuss</t>
  </si>
  <si>
    <t>How to Be Rich</t>
  </si>
  <si>
    <t>It's Not What You Have. It's What You Do With What You Have.</t>
  </si>
  <si>
    <t>Leading a Healthy Multi-Ethnic Church</t>
  </si>
  <si>
    <t>Seven Common Challenges and How to Overcome Them</t>
  </si>
  <si>
    <t>Church and minorities.,Church work with minorities.,Ethnicity--Religious aspects--Christianity.,Multiculturalism--Religious aspects--Christianity.</t>
  </si>
  <si>
    <t>The Pastor's Family</t>
  </si>
  <si>
    <t>Shepherding Your Family Through the Challenges of Pastoral Ministry</t>
  </si>
  <si>
    <t>BV4396</t>
  </si>
  <si>
    <t>Clergy--Family relationships.,Families of clergy.</t>
  </si>
  <si>
    <t>Brian Croft-Cara Croft</t>
  </si>
  <si>
    <t>STIR</t>
  </si>
  <si>
    <t>Spiritual Transformation In Relationships</t>
  </si>
  <si>
    <t>Mindy Caliguire</t>
  </si>
  <si>
    <t>God in My Everything</t>
  </si>
  <si>
    <t>How an Ancient Rhythm Helps Busy People Enjoy God</t>
  </si>
  <si>
    <t>BV4501.3 .S5455 2013</t>
  </si>
  <si>
    <t>Christian life.,Spiritual life--Christianity.,Time management--Religious aspects--Christianity.</t>
  </si>
  <si>
    <t>Outreach and the Artist</t>
  </si>
  <si>
    <t>Sharing the Gospel with the Arts</t>
  </si>
  <si>
    <t>ML3921.8.J39</t>
  </si>
  <si>
    <t>Christianity and the arts.,Jazz--Religious aspects.</t>
  </si>
  <si>
    <t>Should I Vote for a Mormon?</t>
  </si>
  <si>
    <t>BX8611</t>
  </si>
  <si>
    <t>Mormons.,Religion.</t>
  </si>
  <si>
    <t>Ross Anderson</t>
  </si>
  <si>
    <t>Zondervan Selectz</t>
  </si>
  <si>
    <t>The Fall of Lucifer (In More Ways Than One)</t>
  </si>
  <si>
    <t>BS680.D56</t>
  </si>
  <si>
    <t>Devil--Biblical teaching.,Religion.,Wisdom--Biblical teaching.</t>
  </si>
  <si>
    <t>Ronald F. Youngblood</t>
  </si>
  <si>
    <t>Finding Jesus in the Old Testament</t>
  </si>
  <si>
    <t>Food and Everyday Life in Bible Times</t>
  </si>
  <si>
    <t>John A. Beck</t>
  </si>
  <si>
    <t>Your First Step to Celebrate Recovery</t>
  </si>
  <si>
    <t>How God Can Heal Your Life</t>
  </si>
  <si>
    <t>BT732.45 .B35 2013eb</t>
  </si>
  <si>
    <t>Recovery movement--Religious aspects--Christianity.</t>
  </si>
  <si>
    <t>Insourcing</t>
  </si>
  <si>
    <t>Bringing Discipleship Back to the Local Church</t>
  </si>
  <si>
    <t>Randy Pope-Kitti Murray</t>
  </si>
  <si>
    <t>Learn Before You Leap</t>
  </si>
  <si>
    <t>101 Case Studies for Youth Pastors</t>
  </si>
  <si>
    <t>Kevin Turner</t>
  </si>
  <si>
    <t>Games 2</t>
  </si>
  <si>
    <t>Apprentice</t>
  </si>
  <si>
    <t>Walking the Way of Christ</t>
  </si>
  <si>
    <t>Steve Chalke-Joanna Wyld</t>
  </si>
  <si>
    <t>Missional Moves</t>
  </si>
  <si>
    <t>15 Tectonic Shifts That Transform Churches, Communities, and the World</t>
  </si>
  <si>
    <t>BV2061</t>
  </si>
  <si>
    <t>Missions--Theory.</t>
  </si>
  <si>
    <t>Rob Wegner-Jack Magruder</t>
  </si>
  <si>
    <t>Accidental Pharisees</t>
  </si>
  <si>
    <t>Avoiding Pride, Exclusivity, and the Other Dangers of Overzealous Faith</t>
  </si>
  <si>
    <t>A Case for Theistic Evolution</t>
  </si>
  <si>
    <t>Howard J. Van Till</t>
  </si>
  <si>
    <t>A Case for Young-Earth Creationism</t>
  </si>
  <si>
    <t>Paul Nelson-John Mark Reynolds</t>
  </si>
  <si>
    <t>Man and Woman</t>
  </si>
  <si>
    <t>How Christians Should Relate to Government</t>
  </si>
  <si>
    <t>Understanding the Book of Revelation</t>
  </si>
  <si>
    <t>J. Scott Duvall-J. Daniel Hays-C. Marvin Pate</t>
  </si>
  <si>
    <t>A Quick Introduction to the New Testament</t>
  </si>
  <si>
    <t>D. A. Carson-Douglas J. Moo</t>
  </si>
  <si>
    <t>It's Personal</t>
  </si>
  <si>
    <t>Surviving and Thriving on the Journey of Church Planting</t>
  </si>
  <si>
    <t>Brian Bloye-Amy Bloye</t>
  </si>
  <si>
    <t>Surprised by the Power of the Spirit</t>
  </si>
  <si>
    <t>Contagious Generosity</t>
  </si>
  <si>
    <t>Creating a Culture of Giving in Your Church</t>
  </si>
  <si>
    <t>BV4647.G45 W55 2012eb</t>
  </si>
  <si>
    <t>Christian giving.,Christian stewardship.,Generosity--Religious aspects--Christianity.</t>
  </si>
  <si>
    <t>Chris Willard-Jim Sheppard</t>
  </si>
  <si>
    <t>Sifted</t>
  </si>
  <si>
    <t>Pursuing Growth Through Trials, Challenges, and Disappointments</t>
  </si>
  <si>
    <t>BV4909</t>
  </si>
  <si>
    <t>Spiritual formation.,Suffering--Religious aspects--Christianity.</t>
  </si>
  <si>
    <t>Wayne Cordeiro-Francis Chan-Larry Osborne</t>
  </si>
  <si>
    <t>Gospel Coach</t>
  </si>
  <si>
    <t>Shepherding Leaders to Glorify God</t>
  </si>
  <si>
    <t>Christian leadership.,Clergy--Post-ordination training.,Leadership--Religious aspects--Christianity.</t>
  </si>
  <si>
    <t>Scott Thomas-Tom Wood</t>
  </si>
  <si>
    <t>Ideas for Parents</t>
  </si>
  <si>
    <t>A Collection of Tips, Insights, and Activities for Real-World Parenting</t>
  </si>
  <si>
    <t>Mark Matlock-Christopher Lyon</t>
  </si>
  <si>
    <t>Mending the Soul Student Edition</t>
  </si>
  <si>
    <t>Steven R. Tracy-Celestia G Tracy-Kristi Ickes Garrison</t>
  </si>
  <si>
    <t>The Bible Among the Myths</t>
  </si>
  <si>
    <t>Unique Revelation or Just Ancient Literature?</t>
  </si>
  <si>
    <t>BS1183</t>
  </si>
  <si>
    <t>Myth in the Old Testament.</t>
  </si>
  <si>
    <t>John N. Oswalt</t>
  </si>
  <si>
    <t>Youthwalk</t>
  </si>
  <si>
    <t>Youth Ministry That Transforms</t>
  </si>
  <si>
    <t>BV4447.S727 2001</t>
  </si>
  <si>
    <t>Merton P. Strommen-Karen Jones-Dave Rahn</t>
  </si>
  <si>
    <t>Youth Ministry on a Shoestring</t>
  </si>
  <si>
    <t>How to Do More with Less</t>
  </si>
  <si>
    <t>Church work with youth--Finance.,Religion.</t>
  </si>
  <si>
    <t>Lars Rood</t>
  </si>
  <si>
    <t>Your Church Sign</t>
  </si>
  <si>
    <t>1001 Attention-Getting Sayings</t>
  </si>
  <si>
    <t>Verlyn Verbrugge</t>
  </si>
  <si>
    <t>Your Church Is Too Safe</t>
  </si>
  <si>
    <t>Why Following Christ Turns the World Upside-Down</t>
  </si>
  <si>
    <t>Xealots</t>
  </si>
  <si>
    <t>Defying the Gravity of Normality</t>
  </si>
  <si>
    <t>Dave Gibbons</t>
  </si>
  <si>
    <t>Worship on Earth As It Is in Heaven</t>
  </si>
  <si>
    <t>Exploring Worship As a Spiritual Discipline</t>
  </si>
  <si>
    <t>What You Do Best in the Body of Christ</t>
  </si>
  <si>
    <t>Discover Your Spiritual Gifts, Personal Style, and God-Given Passion</t>
  </si>
  <si>
    <t>BT767.3 .B84 2009eb</t>
  </si>
  <si>
    <t>Gifts, Spiritual.,Lay ministry.,Pastoral theology.</t>
  </si>
  <si>
    <t>Revised and expanded</t>
  </si>
  <si>
    <t>What Women Wish Pastors Knew</t>
  </si>
  <si>
    <t>Understanding the Hopes, Hurts, Needs, and Dreams of Women in the Church</t>
  </si>
  <si>
    <t>Denise George</t>
  </si>
  <si>
    <t>What Pastors Wish Church Members Knew</t>
  </si>
  <si>
    <t>Helping People Understand and Appreciate Their Leaders</t>
  </si>
  <si>
    <t>What Can I Do?</t>
  </si>
  <si>
    <t>Making a Global Difference Right Where You Are</t>
  </si>
  <si>
    <t>David Livermore</t>
  </si>
  <si>
    <t>Unfinished Business</t>
  </si>
  <si>
    <t>Returning the Ministry to the People of God</t>
  </si>
  <si>
    <t>BT767.5.O37 2003</t>
  </si>
  <si>
    <t>Greg Ogden</t>
  </si>
  <si>
    <t>Understanding Your Young Teen</t>
  </si>
  <si>
    <t>Practical Wisdom for Parents</t>
  </si>
  <si>
    <t>Understanding World Religions</t>
  </si>
  <si>
    <t>An Interdisciplinary Approach</t>
  </si>
  <si>
    <t>Un.orthodox</t>
  </si>
  <si>
    <t>Church. Hip-Hop. Culture.</t>
  </si>
  <si>
    <t>Tommy Kyllonen</t>
  </si>
  <si>
    <t>Turning Controversy Into Church Ministry</t>
  </si>
  <si>
    <t>A Christlike Response to Homosexuality</t>
  </si>
  <si>
    <t>William P. Campbell</t>
  </si>
  <si>
    <t>Transformation</t>
  </si>
  <si>
    <t>Discipleship That Turns Lives, Churches, and the World Upside Down</t>
  </si>
  <si>
    <t>Toons That Teach</t>
  </si>
  <si>
    <t>To Transform a City</t>
  </si>
  <si>
    <t>Whole Church, Whole Gospel, Whole City</t>
  </si>
  <si>
    <t>BV637 .S93 2010eb</t>
  </si>
  <si>
    <t>Cities and towns--Religious aspects--Christianity.,City churches.,Communities--Religious aspects--Christianity.</t>
  </si>
  <si>
    <t>Eric Swanson-Sam Williams</t>
  </si>
  <si>
    <t>Thriving As an Artist in the Church</t>
  </si>
  <si>
    <t>Hope and Help for You and Your Ministry Team</t>
  </si>
  <si>
    <t>Three Views on the Millennium and Beyond</t>
  </si>
  <si>
    <t>BT891 .B55 2010eb</t>
  </si>
  <si>
    <t>Millennialism--Comparative studies.</t>
  </si>
  <si>
    <t>Zondervan-Darrell L. Bock</t>
  </si>
  <si>
    <t>The Youth Worker's Big Book of Case Studies</t>
  </si>
  <si>
    <t>Not Quite a Million Stories That Beg Discussion</t>
  </si>
  <si>
    <t>The Worshiping Artist</t>
  </si>
  <si>
    <t>Equipping You and Your Ministry Team to Lead Others in Worship</t>
  </si>
  <si>
    <t>BV15</t>
  </si>
  <si>
    <t>Christian leadership.,Christianity and art.,Public worship.</t>
  </si>
  <si>
    <t>The Three Habits of Highly Contagious Christians</t>
  </si>
  <si>
    <t>A Discussion Guide for Small Groups</t>
  </si>
  <si>
    <t>Garry D. Poole</t>
  </si>
  <si>
    <t>The Seven Deadly Sins of Small Group Ministry</t>
  </si>
  <si>
    <t>A Troubleshooting Guide for Church Leaders</t>
  </si>
  <si>
    <t>Church group work.,Small groups--Religious aspects--Christianity.</t>
  </si>
  <si>
    <t>Bill Donahue-Russ G. Robinson</t>
  </si>
  <si>
    <t>The Sermon Maker</t>
  </si>
  <si>
    <t>Tales of a Transformed Preacher</t>
  </si>
  <si>
    <t>The Search to Belong</t>
  </si>
  <si>
    <t>Rethinking Intimacy, Community, and Small Groups</t>
  </si>
  <si>
    <t>BV4517.5</t>
  </si>
  <si>
    <t>Belonging (Social psychology),Communities--Religious aspects--Christianity.</t>
  </si>
  <si>
    <t>Joseph R. Myers</t>
  </si>
  <si>
    <t>The Praise and Worship Team Instant Tune-Up</t>
  </si>
  <si>
    <t>MT88</t>
  </si>
  <si>
    <t>Church music--Instruction and study.,Contemporary Christian music--Instruction and study.</t>
  </si>
  <si>
    <t>Douglas Flather-Tami Flather</t>
  </si>
  <si>
    <t>The Multi-Site Church Revolution</t>
  </si>
  <si>
    <t>Being One Church in Many Locations</t>
  </si>
  <si>
    <t>BV604</t>
  </si>
  <si>
    <t>Church management.,Multi-site churches.</t>
  </si>
  <si>
    <t>The Leadership Network Innovation Series</t>
  </si>
  <si>
    <t>The Mission of God's People</t>
  </si>
  <si>
    <t>A Biblical Theology of the Churchâ€™s Mission</t>
  </si>
  <si>
    <t>Church work.,Mission of the church.,Missions.</t>
  </si>
  <si>
    <t>The Lost Art of Disciple Making</t>
  </si>
  <si>
    <t>LeRoy Eims</t>
  </si>
  <si>
    <t>The Leadership Baton</t>
  </si>
  <si>
    <t>An Intentional Strategy for Developing Leaders in Your Church</t>
  </si>
  <si>
    <t>BV652.1 .F63 2004eb</t>
  </si>
  <si>
    <t>Christian leadership.,Leadership--Religious aspects--Christianity.,Religion.</t>
  </si>
  <si>
    <t>Rowland Forman-Jeff Jones-Bruce B. Miller</t>
  </si>
  <si>
    <t>The Gift of Church</t>
  </si>
  <si>
    <t>How God Designed the Local Church to Meet Our Needs As Christians</t>
  </si>
  <si>
    <t>James G. Samra</t>
  </si>
  <si>
    <t>The Dynamics of Spiritual Gifts</t>
  </si>
  <si>
    <t>William J. McRae</t>
  </si>
  <si>
    <t>The Divine Commodity</t>
  </si>
  <si>
    <t>Discovering a Faith Beyond Consumer Christianity</t>
  </si>
  <si>
    <t>BR115.C8 J47 2009eb</t>
  </si>
  <si>
    <t>Christianity and culture.,Consumption (Economics)--Religious aspects--Christianity.</t>
  </si>
  <si>
    <t>The Connecting Church 2.0</t>
  </si>
  <si>
    <t>Church.,Communities--Biblical teaching.,Communities--Religious aspects--Christianity.,Community life--United States.,Small groups--Religious aspects.</t>
  </si>
  <si>
    <t>The College Adventure Handbook</t>
  </si>
  <si>
    <t>The Ultimate Guide for Surviving College, Building a Strong Faith, and Getting a Hot Date</t>
  </si>
  <si>
    <t>Rob Stennett-Joe P Kirkendall</t>
  </si>
  <si>
    <t>The Christian Faith</t>
  </si>
  <si>
    <t>A Systematic Theology for Pilgrims on the Way</t>
  </si>
  <si>
    <t>The American Church in Crisis</t>
  </si>
  <si>
    <t>Groundbreaking Research Based on a National Database of Over 200,000 Churches</t>
  </si>
  <si>
    <t>BV652.5 .O47 2008</t>
  </si>
  <si>
    <t>Church attendance--United States--Statistics.</t>
  </si>
  <si>
    <t>David T. Olson</t>
  </si>
  <si>
    <t>Ten Time Bombs</t>
  </si>
  <si>
    <t>Defusing the Most Explosive Pressures Teenagers Face</t>
  </si>
  <si>
    <t>Ronald Hutchcraft</t>
  </si>
  <si>
    <t>Ten Stupid Things That Keep Churches From Growing</t>
  </si>
  <si>
    <t>How Leaders Can Overcome Costly Mistakes</t>
  </si>
  <si>
    <t>Geoff Surratt</t>
  </si>
  <si>
    <t>Teaching That Makes a Difference</t>
  </si>
  <si>
    <t>How to Teach for Holistic Impact</t>
  </si>
  <si>
    <t>BV4447.L332</t>
  </si>
  <si>
    <t>Christian education of young people.,Church work with youth.</t>
  </si>
  <si>
    <t>Dan Lambert</t>
  </si>
  <si>
    <t>Teaching Like Jesus</t>
  </si>
  <si>
    <t>A Practical Guide to Christian Education in Your Church</t>
  </si>
  <si>
    <t>BV1534</t>
  </si>
  <si>
    <t>La Verne Tolbert</t>
  </si>
  <si>
    <t>Talking the Walk</t>
  </si>
  <si>
    <t>31 Sessions for New Small Groups</t>
  </si>
  <si>
    <t>Dave Bartlett-Bill Muir</t>
  </si>
  <si>
    <t>Sticky Faith, Youth Worker Edition</t>
  </si>
  <si>
    <t>Practical Ideas to Nurture Long-Term Faith in Teenagers</t>
  </si>
  <si>
    <t>BV4531.3</t>
  </si>
  <si>
    <t>Kara Powell-Brad M. Griffin-Cheryl A. Crawford</t>
  </si>
  <si>
    <t>Spoken Worship</t>
  </si>
  <si>
    <t>Gerard Kelly</t>
  </si>
  <si>
    <t>Soultsunami</t>
  </si>
  <si>
    <t>Sink or Swim in New Millennium Culture</t>
  </si>
  <si>
    <t>Small Group Leadership As Spiritual Direction</t>
  </si>
  <si>
    <t>Practical Ways to Blend an Ancient Art Into Your Contemporary Community</t>
  </si>
  <si>
    <t>BV5053 .W42 2009eb</t>
  </si>
  <si>
    <t>Christian leadership.,Church group work.,Church work.,Pastoral theology.,Small groups--Religious aspects--Christianity.,Spiritual direction.</t>
  </si>
  <si>
    <t>Heather Parkinson Webb</t>
  </si>
  <si>
    <t>Skits That Teach, Volume 2 EBook</t>
  </si>
  <si>
    <t>Banned in Wisconsin // 35 Cheese Free Skits</t>
  </si>
  <si>
    <t>Christian drama, American.,Church group work with teenagers.,Church work with teenagers.,Drama in Christian education.,One-act plays, American.</t>
  </si>
  <si>
    <t>SimChurch</t>
  </si>
  <si>
    <t>Being the Church in the Virtual World</t>
  </si>
  <si>
    <t>Douglas Estes</t>
  </si>
  <si>
    <t>Servolution</t>
  </si>
  <si>
    <t>Starting a Church Revolution Through Serving</t>
  </si>
  <si>
    <t>Dino Rizzo</t>
  </si>
  <si>
    <t>Serving in Your Church Nursery</t>
  </si>
  <si>
    <t>Julia A. Spohrer</t>
  </si>
  <si>
    <t>Zondervan Practical Ministry Guides</t>
  </si>
  <si>
    <t>Serving in Your Church Music Ministry</t>
  </si>
  <si>
    <t>Randall D. Engle</t>
  </si>
  <si>
    <t>Serving in Church Visitation</t>
  </si>
  <si>
    <t>BV4320.S79 2002</t>
  </si>
  <si>
    <t>Jerry M. Stubblefield</t>
  </si>
  <si>
    <t>Serving by Safeguarding Your Church</t>
  </si>
  <si>
    <t>Robert H. Welch</t>
  </si>
  <si>
    <t>Serving As a Church Greeter</t>
  </si>
  <si>
    <t>Real-Time Connections</t>
  </si>
  <si>
    <t>Linking Your Job with God's Global Work</t>
  </si>
  <si>
    <t>BV3793</t>
  </si>
  <si>
    <t>Employees--Religious life.,Evangelistic work.,Globalization--Religious aspects--Christianity.,Great Commission (Bible)</t>
  </si>
  <si>
    <t>Real Hope in Chicago</t>
  </si>
  <si>
    <t>BX9999.C453 G67 2010eb</t>
  </si>
  <si>
    <t>Church work with the poor--Illinois--Chicago.,Evangelicalism--Illinois--Chicago--History--20th century.</t>
  </si>
  <si>
    <t>Wayne L. Gordon-Randall Frame</t>
  </si>
  <si>
    <t>Multicultural Ministry</t>
  </si>
  <si>
    <t>Finding Your Church's Unique Rhythm</t>
  </si>
  <si>
    <t>BV4468</t>
  </si>
  <si>
    <t>David A. Anderson</t>
  </si>
  <si>
    <t>Move</t>
  </si>
  <si>
    <t>What 1,000 Churches Reveal About Spiritual Growth</t>
  </si>
  <si>
    <t>Greg L. Hawkins-Cally Parkinson</t>
  </si>
  <si>
    <t>More Would You Ratherâ€¦?</t>
  </si>
  <si>
    <t>Four Hundred and Sixty-Five More Provocative Questions to Get Teenagers Talking</t>
  </si>
  <si>
    <t>More Hot Illustrations for Youth Talks</t>
  </si>
  <si>
    <t>Misfit</t>
  </si>
  <si>
    <t>Dealing with Our God-Given Discomfort</t>
  </si>
  <si>
    <t>Chris Durso</t>
  </si>
  <si>
    <t>Membership Matters</t>
  </si>
  <si>
    <t>Insights From Effective Churches on New Member Classes and Assimilation</t>
  </si>
  <si>
    <t>Chuck Lawless</t>
  </si>
  <si>
    <t>Making Small Groups Work</t>
  </si>
  <si>
    <t>What Every Small Group Leader Needs to Know</t>
  </si>
  <si>
    <t>BV652.2 .C57 2003eb</t>
  </si>
  <si>
    <t>Christian leadership.,Church group work.,Small groups--Religious aspects--Christianity.</t>
  </si>
  <si>
    <t>Life in Student Ministry</t>
  </si>
  <si>
    <t>Practical Conversations on Thriving in Youth Ministry</t>
  </si>
  <si>
    <t>Tim Schmoyer</t>
  </si>
  <si>
    <t>Lessons Kids Need to Learn</t>
  </si>
  <si>
    <t>Six Truths to Shape the Character of the Child You Love</t>
  </si>
  <si>
    <t>Leading Kids to Jesus</t>
  </si>
  <si>
    <t>How to Have One-on-One Conversations About Faith</t>
  </si>
  <si>
    <t>BV639.C4S68 2005</t>
  </si>
  <si>
    <t>Church work with children.,Evangelistic work.,Religion.</t>
  </si>
  <si>
    <t>Jesus the Pastor</t>
  </si>
  <si>
    <t>Leading Others in the Character and Power of Christ</t>
  </si>
  <si>
    <t>BT205 .F79 2010eb</t>
  </si>
  <si>
    <t>John W. Frye</t>
  </si>
  <si>
    <t>Intelligent Church</t>
  </si>
  <si>
    <t>Church.,Mission of the church.</t>
  </si>
  <si>
    <t>Steve Chalke-Anthony Watkis</t>
  </si>
  <si>
    <t>I'm More Than the Pastor's Wife</t>
  </si>
  <si>
    <t>Authentic Living in a Fishbowl World</t>
  </si>
  <si>
    <t>Lorna Dobson</t>
  </si>
  <si>
    <t>Special Events</t>
  </si>
  <si>
    <t>How to Thrive As a Small-Church Pastor</t>
  </si>
  <si>
    <t>A Guide to Spiritual and Emotional Well-Being</t>
  </si>
  <si>
    <t>Steve R. Bierly</t>
  </si>
  <si>
    <t>How Christianity Changed the World</t>
  </si>
  <si>
    <t>SOCIAL SCIENCE / Sociology of Religion</t>
  </si>
  <si>
    <t>BR115.C5 S335 2009eb</t>
  </si>
  <si>
    <t>Christian civilization.,Christianity--Influence.</t>
  </si>
  <si>
    <t>Alvin J. Schmidt</t>
  </si>
  <si>
    <t>Holiday Ideas</t>
  </si>
  <si>
    <t>GV1472.3.U6</t>
  </si>
  <si>
    <t>Entertaining--United States.,Games in Christian education--United States.,Games--United States.,Holidays--United States.,Youth--Recreation--United States.</t>
  </si>
  <si>
    <t>Growing the Church in the Power of the Holy Spirit</t>
  </si>
  <si>
    <t>Seven Principles of Dynamic Cooperation</t>
  </si>
  <si>
    <t>BV652.25 .L66 2009eb</t>
  </si>
  <si>
    <t>Church development, New--Reformed Church.,Church growth--Presbyterian Church.,Church growth--Reformed Church.,Holy Spirit.</t>
  </si>
  <si>
    <t>Brad Long-Paul K. Stokes-Cindy Strickler</t>
  </si>
  <si>
    <t>Glocalization</t>
  </si>
  <si>
    <t>How Followers of Jesus Engage a Flat World</t>
  </si>
  <si>
    <t>G-Force</t>
  </si>
  <si>
    <t>Taking Your Relationship with God to a New Level</t>
  </si>
  <si>
    <t>Bo Boshers</t>
  </si>
  <si>
    <t>Get 'Em Talking</t>
  </si>
  <si>
    <t>104 Discussion Starters for Youth Groups</t>
  </si>
  <si>
    <t>BV4447 .Y32 1989</t>
  </si>
  <si>
    <t>Mike Yaconelli-Scott Koenigsaecher</t>
  </si>
  <si>
    <t>Games 3</t>
  </si>
  <si>
    <t>From Jerusalem to Irian Jaya</t>
  </si>
  <si>
    <t>A Biographical History of Christian Missions</t>
  </si>
  <si>
    <t>BV3700</t>
  </si>
  <si>
    <t>Missionaries--Biography.,Missions--History.</t>
  </si>
  <si>
    <t>Four Portraits, One Jesus</t>
  </si>
  <si>
    <t>For the City</t>
  </si>
  <si>
    <t>Proclaiming and Living Out the Gospel</t>
  </si>
  <si>
    <t>Matt Carter-Darrin Patrick-Joel A Lindsey</t>
  </si>
  <si>
    <t>Folly, Grace, and Power</t>
  </si>
  <si>
    <t>The Mysterious Act of Preaching</t>
  </si>
  <si>
    <t>Fatherless Generation</t>
  </si>
  <si>
    <t>Redeeming the Story</t>
  </si>
  <si>
    <t>Exponential</t>
  </si>
  <si>
    <t>How You and Your Friends Can Start a Missional Church Movement</t>
  </si>
  <si>
    <t>BV652.24 .F47 2010eb</t>
  </si>
  <si>
    <t>Dave Ferguson-Jon Ferguson</t>
  </si>
  <si>
    <t>Exploring the Worship Spectrum</t>
  </si>
  <si>
    <t>6 Views</t>
  </si>
  <si>
    <t>BV15 .E93 2004eb</t>
  </si>
  <si>
    <t>Everyday Object Lessons for Youth Groups</t>
  </si>
  <si>
    <t>45 Strange and Striking Ways to Get Your Point Across to Teenagers</t>
  </si>
  <si>
    <t>Church group work with teenagers.,Church work with teenagers.,Object-teaching.</t>
  </si>
  <si>
    <t>Helen Musick-Duffy Robbins</t>
  </si>
  <si>
    <t>Effective Men's Ministry</t>
  </si>
  <si>
    <t>The Indispensable Toolkit for Your Church</t>
  </si>
  <si>
    <t>Zondervan-Phil Downer</t>
  </si>
  <si>
    <t>Drama, Skits, and Sketches 2</t>
  </si>
  <si>
    <t>BV1485</t>
  </si>
  <si>
    <t>Christian drama, American.,Christian education of teenagers.,Drama in Christian education.</t>
  </si>
  <si>
    <t>Discussion and Lesson Starters</t>
  </si>
  <si>
    <t>Church work with youth.,Games in Christian education.,Games.,Group games.,Indoor games.,Youth--Recreation.</t>
  </si>
  <si>
    <t>A Personal Inventory Method</t>
  </si>
  <si>
    <t>BT767.3</t>
  </si>
  <si>
    <t>Kenneth C. Kinghorn</t>
  </si>
  <si>
    <t>Designing Effective Women's Ministries</t>
  </si>
  <si>
    <t>Choosing, Planning, and Implementing the Right Programs for Your Church</t>
  </si>
  <si>
    <t>BV4445</t>
  </si>
  <si>
    <t>Church work with women.</t>
  </si>
  <si>
    <t>Jill Briscoe-Laurie A. McIntyre-Beth Seversen</t>
  </si>
  <si>
    <t>Dangerous Church</t>
  </si>
  <si>
    <t>Risking Everything to Reach Everyone</t>
  </si>
  <si>
    <t>John Bishop</t>
  </si>
  <si>
    <t>Counsel for Pastors' Wives</t>
  </si>
  <si>
    <t>Diane Langberg</t>
  </si>
  <si>
    <t>Common Roots</t>
  </si>
  <si>
    <t>The Original Call to an Ancient-Future Faith</t>
  </si>
  <si>
    <t>Robert E. Webber</t>
  </si>
  <si>
    <t>City of God, City of Satan</t>
  </si>
  <si>
    <t>A Biblical Theology of the Urban City</t>
  </si>
  <si>
    <t>BR115.C45 L55 2011</t>
  </si>
  <si>
    <t>Church renewal.,Cities and towns--Biblical teaching.,Cities and towns--Religious aspects--Christianity.,City churches.,Evangelistic work.</t>
  </si>
  <si>
    <t>Robert C. Linthicum</t>
  </si>
  <si>
    <t>Church on the Couch</t>
  </si>
  <si>
    <t>Does the Church Need Therapy?</t>
  </si>
  <si>
    <t>Elaine Martens Hamilton</t>
  </si>
  <si>
    <t>Church in Transition</t>
  </si>
  <si>
    <t>The Journey of Existing Churches Into the Emerging Culture</t>
  </si>
  <si>
    <t>BV600.3.C67 2006</t>
  </si>
  <si>
    <t>Tim Conder</t>
  </si>
  <si>
    <t>Building a Life-Changing Small Group Ministry</t>
  </si>
  <si>
    <t>A Strategic Guide for Leading Group Life in Your Church</t>
  </si>
  <si>
    <t>BV652.2 .D654 2012eb</t>
  </si>
  <si>
    <t>Bridges to Grace</t>
  </si>
  <si>
    <t>Innovative Approaches to Recovery Ministry</t>
  </si>
  <si>
    <t>Elizabeth A Swanson-Teresa J. McBean</t>
  </si>
  <si>
    <t>Becoming a Contagious Church</t>
  </si>
  <si>
    <t>Increasing Your Church's Evangelistic Temperature</t>
  </si>
  <si>
    <t>Barefoot Church</t>
  </si>
  <si>
    <t>Serving the Least in a Consumer Culture</t>
  </si>
  <si>
    <t>AND</t>
  </si>
  <si>
    <t>The Gathered and Scattered Church</t>
  </si>
  <si>
    <t>BV600.3</t>
  </si>
  <si>
    <t>Church growth.,Church.</t>
  </si>
  <si>
    <t>Hugh Halter-Matt Smay</t>
  </si>
  <si>
    <t>Adventures in Churchland</t>
  </si>
  <si>
    <t>Finding Jesus in the Mess of Organized Religion</t>
  </si>
  <si>
    <t>21st Century Pastor</t>
  </si>
  <si>
    <t>A Vision Based on the Ministry of Paul</t>
  </si>
  <si>
    <t>David C. Fisher</t>
  </si>
  <si>
    <t>Jeremiah, Lamentations</t>
  </si>
  <si>
    <t>BS1525.53</t>
  </si>
  <si>
    <t>Michael L. Brown, PhD-Paul W. Ferris</t>
  </si>
  <si>
    <t>Expositor's Bible Commentary (rev. Ed.)</t>
  </si>
  <si>
    <t>BS2585.53</t>
  </si>
  <si>
    <t>BS1415.53</t>
  </si>
  <si>
    <t>Elmer B. Smick</t>
  </si>
  <si>
    <t>Ezra, Nehemiah, Esther</t>
  </si>
  <si>
    <t>BS1355.53</t>
  </si>
  <si>
    <t>Edwin Yamauchi-Elaine A. Phillips</t>
  </si>
  <si>
    <t>Richard D. Patterson-Hermann J. Austel</t>
  </si>
  <si>
    <t>BS1305.53</t>
  </si>
  <si>
    <t>Mark J. Boda-George Schwab</t>
  </si>
  <si>
    <t>BS1295.53 .D35 2012eb</t>
  </si>
  <si>
    <t>Helene Dallaire</t>
  </si>
  <si>
    <t>Deuteronomy</t>
  </si>
  <si>
    <t>BS1275.52</t>
  </si>
  <si>
    <t>Michael Alan Grisanti</t>
  </si>
  <si>
    <t>Ezra, Nehemiah, Esther, and Job</t>
  </si>
  <si>
    <t>BS1151.52</t>
  </si>
  <si>
    <t>Edwin Yamauchi-Anthony Tomasino-Izak Cornelius</t>
  </si>
  <si>
    <t>Joshua 1-12, Volume 7A</t>
  </si>
  <si>
    <t>BS1345.53</t>
  </si>
  <si>
    <t>Simon Sherwin-Frederick Mabie</t>
  </si>
  <si>
    <t>BS1295.53 .J68 2009eb</t>
  </si>
  <si>
    <t>V. Philips Long</t>
  </si>
  <si>
    <t>BS1505.53 I835 2016eb</t>
  </si>
  <si>
    <t>1 and 2 Thessalonians, 1 and 2 Timothy, Titus</t>
  </si>
  <si>
    <t>BS2725.53 W456 2016</t>
  </si>
  <si>
    <t>Jeffrey A.D. Weima-Steven M. Baugh</t>
  </si>
  <si>
    <t>Ezekiel and Daniel</t>
  </si>
  <si>
    <t>BS1545.2</t>
  </si>
  <si>
    <t>Daniel Bodi-Ernest C. Lucas</t>
  </si>
  <si>
    <t>BS1235.53</t>
  </si>
  <si>
    <t>Hebrews to Revelation</t>
  </si>
  <si>
    <t>Volume Four</t>
  </si>
  <si>
    <t>BS2825.53</t>
  </si>
  <si>
    <t>Hebrews - Revelation</t>
  </si>
  <si>
    <t>BS491.3 .E96 2006 v.13 EB</t>
  </si>
  <si>
    <t>David E. Garland</t>
  </si>
  <si>
    <t>The Expositor's Bible Commentary, Revised Edition</t>
  </si>
  <si>
    <t>Proverbsâ€“Isaiah</t>
  </si>
  <si>
    <t>BS491.3</t>
  </si>
  <si>
    <t>Matthew, Mark, Luke</t>
  </si>
  <si>
    <t>Volume One</t>
  </si>
  <si>
    <t>BS2575.53</t>
  </si>
  <si>
    <t>Genesisâ€“Leviticus</t>
  </si>
  <si>
    <t>Danielâ€“Malachi</t>
  </si>
  <si>
    <t>BS491.3 .E96 2006 v.8 EB</t>
  </si>
  <si>
    <t>The Expositor's Bible Commentary (Rev.)</t>
  </si>
  <si>
    <t>Don't Stop Believin'</t>
  </si>
  <si>
    <t>The Man, the Band, and the Song That Inspired Generations</t>
  </si>
  <si>
    <t>Jonathan Cain</t>
  </si>
  <si>
    <t>Eugene Carpenter</t>
  </si>
  <si>
    <t>Bruce Wells</t>
  </si>
  <si>
    <t>Jeremiah and Lamentations</t>
  </si>
  <si>
    <t>Steven M. Voth-Paul W. Ferris</t>
  </si>
  <si>
    <t>BS1335.3 M667 2016</t>
  </si>
  <si>
    <t>John M. Monson-Iain Provan</t>
  </si>
  <si>
    <t>Joshua, Judges, and Ruth</t>
  </si>
  <si>
    <t>BS1151.52 .Z66 2016</t>
  </si>
  <si>
    <t>Richard Hess-Daniel I. Block-Dale W. Manor</t>
  </si>
  <si>
    <t>Leviticus and Numbers</t>
  </si>
  <si>
    <t>Roy Gane-R. Dennis Cole</t>
  </si>
  <si>
    <t>The Minor Prophets</t>
  </si>
  <si>
    <t>J. Glen Taylor-Mark W. Chavalas-Philip S. Johnston-Alan R. Millard-John H. Walton-Daniel M. Master-Victor H. Matthews-Kenneth Hoglund-Andrew E. Hill</t>
  </si>
  <si>
    <t>Four Views on Hell</t>
  </si>
  <si>
    <t>BT836.3.F68 2016</t>
  </si>
  <si>
    <t>Verlyn Verbrugge-Murray J. Harris</t>
  </si>
  <si>
    <t>1 and 2 Peter, 1, 2, and 3 John, Jude</t>
  </si>
  <si>
    <t>BS2777</t>
  </si>
  <si>
    <t>Daryl Charles-Tom Thatcher</t>
  </si>
  <si>
    <t>Hebrews, James</t>
  </si>
  <si>
    <t>BS2775.3</t>
  </si>
  <si>
    <t>George H. Guthrie</t>
  </si>
  <si>
    <t>BS2625.3</t>
  </si>
  <si>
    <t>Richard N. Longenecker</t>
  </si>
  <si>
    <t>Robert H. Mounce</t>
  </si>
  <si>
    <t>Joel, Obadiah, Malachi</t>
  </si>
  <si>
    <t>BS1560 .J64 2008eb</t>
  </si>
  <si>
    <t>Richard D. Patterson-Carl E. Armerding-Eugene H. Merrill</t>
  </si>
  <si>
    <t>Hosea, Amos, Micah</t>
  </si>
  <si>
    <t>BS1560 .S78 1986eb</t>
  </si>
  <si>
    <t>M. Daniel Carroll-Thomas E. McComiskey</t>
  </si>
  <si>
    <t>BS1555.3</t>
  </si>
  <si>
    <t>Andrew E. Hill</t>
  </si>
  <si>
    <t>BS1515.53 G76 2008eb</t>
  </si>
  <si>
    <t>Rev. Geoffrey W. Grogan</t>
  </si>
  <si>
    <t>Robert L. Thomas-Andreas J. Kostenberger</t>
  </si>
  <si>
    <t>Haggai, Zechariah</t>
  </si>
  <si>
    <t>Eugene H. Merrill-Kenneth L. Barker</t>
  </si>
  <si>
    <t>Richard Hess</t>
  </si>
  <si>
    <t>Walter C. Kaiser, Jr.</t>
  </si>
  <si>
    <t>1 and 2 Peter, Jude, 1, 2, and 3 John</t>
  </si>
  <si>
    <t>Peter H. Davids-Douglas J. Moo-Robert Yarbrough</t>
  </si>
  <si>
    <t>BS2341.52 .Z66 2016</t>
  </si>
  <si>
    <t>Mark W. Wilson</t>
  </si>
  <si>
    <t>Ephesians, Philippians, Colossians, Philemon</t>
  </si>
  <si>
    <t>Clinton E. Arnold-Frank S. Thielman-Steven M. Baugh</t>
  </si>
  <si>
    <t>David W. J. Gill-Moyer V. Hubbard</t>
  </si>
  <si>
    <t>Michael J. Wilkins</t>
  </si>
  <si>
    <t>Romans, Galatians</t>
  </si>
  <si>
    <t>BS491.3 R663 2011</t>
  </si>
  <si>
    <t>Douglas J. Moo-Ralph P. Martin-Julie Wu</t>
  </si>
  <si>
    <t>1 and 2 Thessalonians, Volume 45</t>
  </si>
  <si>
    <t>F. F. Bruce</t>
  </si>
  <si>
    <t>BS2695.53 .K54 2006eb</t>
  </si>
  <si>
    <t>William W. Klein-David E. Garland-Todd D. Still-Arthur A. Rupprecht</t>
  </si>
  <si>
    <t>Expositor's Bible Commentary, Revised Edition</t>
  </si>
  <si>
    <t>Ezekiel</t>
  </si>
  <si>
    <t>BS1545.3</t>
  </si>
  <si>
    <t>Ralph H. Alexander</t>
  </si>
  <si>
    <t>Frederick Mabie</t>
  </si>
  <si>
    <t>BS1325.53 .Y68 2017</t>
  </si>
  <si>
    <t>Ronald B. Allen</t>
  </si>
  <si>
    <t>The Essential Bible Dictionary</t>
  </si>
  <si>
    <t>BS440</t>
  </si>
  <si>
    <t>MoisÃ©s Silva</t>
  </si>
  <si>
    <t>BS2615.53 .K58 2016eb</t>
  </si>
  <si>
    <t>Edward W Klink III</t>
  </si>
  <si>
    <t>D. A. Carson</t>
  </si>
  <si>
    <t>The Essential Companion to Life in Bible Times</t>
  </si>
  <si>
    <t>DS112 .S488 2011eb</t>
  </si>
  <si>
    <t>Jews--Antiquities.,Jews--Social life and customs--To 70 A.D.</t>
  </si>
  <si>
    <t>A Commentary</t>
  </si>
  <si>
    <t>BS1235.3</t>
  </si>
  <si>
    <t>Bruce K. Waltke-Cathi J. Fredricks</t>
  </si>
  <si>
    <t>1, 2, and 3 John</t>
  </si>
  <si>
    <t>BS2805.53</t>
  </si>
  <si>
    <t>The Story of God Bible Commentary Series</t>
  </si>
  <si>
    <t>The Matthew Commentary Collection</t>
  </si>
  <si>
    <t>An All-In-One Commentary Collection for Studying the Book of Matthew</t>
  </si>
  <si>
    <t>Michael J. Wilkins-Grant R. Osborne-Scot McKnight</t>
  </si>
  <si>
    <t>BS2715.53 .P36 2012eb</t>
  </si>
  <si>
    <t>David W. Pao</t>
  </si>
  <si>
    <t>BS2625.53 .S35 2016eb</t>
  </si>
  <si>
    <t>Eckhard J. Schnabel</t>
  </si>
  <si>
    <t>BS2725.53 .A76 2012eb</t>
  </si>
  <si>
    <t>Theology.</t>
  </si>
  <si>
    <t>Zondervan Exegetical Commentary Series: New Testament</t>
  </si>
  <si>
    <t>BS2695.53 .R627 2016eb</t>
  </si>
  <si>
    <t>Mark D. Roberts</t>
  </si>
  <si>
    <t>BS1555.53 .W53 2016eb</t>
  </si>
  <si>
    <t>Wendy L. Widder</t>
  </si>
  <si>
    <t>Story of God Commentary</t>
  </si>
  <si>
    <t>All the Men of the Bible</t>
  </si>
  <si>
    <t>BS570 .L6eb</t>
  </si>
  <si>
    <t>Men in the Bible--Biography--Dictionaries.</t>
  </si>
  <si>
    <t>All the Women of the Bible</t>
  </si>
  <si>
    <t>BS575 .L635 1967 eb</t>
  </si>
  <si>
    <t>BS1430.53 .P83 2017eb</t>
  </si>
  <si>
    <t>Willem A. VanGemeren</t>
  </si>
  <si>
    <t>Volume 2B</t>
  </si>
  <si>
    <t>BS2625.53 .A76 2016</t>
  </si>
  <si>
    <t>Clinton E. Arnold</t>
  </si>
  <si>
    <t>New International Encyclopedia of Bible Words</t>
  </si>
  <si>
    <t>BS440 .R525 1999eb</t>
  </si>
  <si>
    <t>English language--Dictionaries--Greek, Biblical.,English language--Dictionaries--Hebrew.</t>
  </si>
  <si>
    <t>Zondervan's Understand the Bible Reference Series</t>
  </si>
  <si>
    <t>Judges, Volume 8</t>
  </si>
  <si>
    <t>BS1305.53 .B87 2009eb</t>
  </si>
  <si>
    <t>Mark 8:27-16:20, Volume 34B</t>
  </si>
  <si>
    <t>BS2585.3</t>
  </si>
  <si>
    <t>Craig A. Evans</t>
  </si>
  <si>
    <t>Romans 1-8, Volume 38A</t>
  </si>
  <si>
    <t>BS2665.3 .D863 1988eb v.1</t>
  </si>
  <si>
    <t>James D. G. Dunn</t>
  </si>
  <si>
    <t>Revelation 6-16, Volume 52B</t>
  </si>
  <si>
    <t>BS2825.52 .A96 1998eb</t>
  </si>
  <si>
    <t>Dr. David Aune</t>
  </si>
  <si>
    <t>Job 21-37, Volume 18A</t>
  </si>
  <si>
    <t>BS1415.3 .C446 2017eb v.2</t>
  </si>
  <si>
    <t>David J. A. Clines</t>
  </si>
  <si>
    <t>Romans 9-16, Volume 38B</t>
  </si>
  <si>
    <t>BS2665.3 .D863 1988eb v.2</t>
  </si>
  <si>
    <t>Job 1-20, Volume 17</t>
  </si>
  <si>
    <t>BS1415.3 .C446 2017eb v.1</t>
  </si>
  <si>
    <t>Hosea-Jonah, Volume 31</t>
  </si>
  <si>
    <t>BS1565.3 .S783 2017eb</t>
  </si>
  <si>
    <t>Galatians, Volume 41</t>
  </si>
  <si>
    <t>Philippians, Volume 43</t>
  </si>
  <si>
    <t>BS2705.3</t>
  </si>
  <si>
    <t>Gerald F. Hawthorne-Ralph P. Martin</t>
  </si>
  <si>
    <t>Micah-Malachi, Volume 32</t>
  </si>
  <si>
    <t>BS1615.3 .S65 1984eb</t>
  </si>
  <si>
    <t>Mark 1-8:26, Volume 34A</t>
  </si>
  <si>
    <t>BS2585.3 .G834 2018</t>
  </si>
  <si>
    <t>Robert A. Guelich</t>
  </si>
  <si>
    <t>1 Peter, Volume 49</t>
  </si>
  <si>
    <t>BS2795.3 .M534 1988eb</t>
  </si>
  <si>
    <t>Ephesians, Volume 42</t>
  </si>
  <si>
    <t>BS2695.3 .L452 1990eb</t>
  </si>
  <si>
    <t>Dr. Andrew T. Lincoln</t>
  </si>
  <si>
    <t>Genesis 16-50, Volume 2</t>
  </si>
  <si>
    <t>Gordon John Wenham</t>
  </si>
  <si>
    <t>Word Bibliographical Commentary</t>
  </si>
  <si>
    <t>Genesis 1-15, Volume 1</t>
  </si>
  <si>
    <t>BS1235.55 .W36 2014eb</t>
  </si>
  <si>
    <t>Jude-2 Peter, Volume 50</t>
  </si>
  <si>
    <t>BS491.2 .W67 2014 v. 50eb</t>
  </si>
  <si>
    <t>Hebrews 1-8, Volume 47A</t>
  </si>
  <si>
    <t>William L. Lane</t>
  </si>
  <si>
    <t>Divine Healing Of The Body</t>
  </si>
  <si>
    <t>BT732</t>
  </si>
  <si>
    <t>Religion.,Spiritual healing.</t>
  </si>
  <si>
    <t>The Strategic Grasp Of The Bible</t>
  </si>
  <si>
    <t>The Mark Commentary Collection</t>
  </si>
  <si>
    <t>An All-In-One Commentary Collection for Studying the Book of Mark</t>
  </si>
  <si>
    <t>BS2583</t>
  </si>
  <si>
    <t>David E. Garland-Mark L. Strauss-Walter W. Wessel</t>
  </si>
  <si>
    <t>The Galatians Commentary Collection</t>
  </si>
  <si>
    <t>An All-In-One Commentary Collection for Studying the Book of Galatians</t>
  </si>
  <si>
    <t>Scot McKnight-Thomas R. Schreiner-Robert K. Rapa</t>
  </si>
  <si>
    <t>Studies In Problem Texts</t>
  </si>
  <si>
    <t>A Series of Elucidating and Applicable Expositions of Perplexing Scripture Passages</t>
  </si>
  <si>
    <t>God So Loved</t>
  </si>
  <si>
    <t>An Expository Series on the Theology and Evangel of the Best Known Text in the Bible (John 3:16)</t>
  </si>
  <si>
    <t>God (Christianity)--Love--Meditations.,Religion.</t>
  </si>
  <si>
    <t>Mark These Men</t>
  </si>
  <si>
    <t>Practical Studies in Striking Aspects of Certain Bible Characters</t>
  </si>
  <si>
    <t>BS571.5</t>
  </si>
  <si>
    <t>All the Men of the Bible/All the Women of the Bible Compilation</t>
  </si>
  <si>
    <t>BS571 .L59 2006eb</t>
  </si>
  <si>
    <t>Men in the Bible.,Women in the Bible.</t>
  </si>
  <si>
    <t>The Luke Commentary Collection</t>
  </si>
  <si>
    <t>An All-In-One Commentary Collection for Studying the Book of Luke</t>
  </si>
  <si>
    <t>Darrell L. Bock-David E. Garland-Walter L. Liefeld-David W. Pao</t>
  </si>
  <si>
    <t>How to Read the Bible As Literature</t>
  </si>
  <si>
    <t>... And Get More Out of It</t>
  </si>
  <si>
    <t>BS535</t>
  </si>
  <si>
    <t>Bible as literature.</t>
  </si>
  <si>
    <t>Leland Ryken</t>
  </si>
  <si>
    <t>The Words and Works of Jesus Christ</t>
  </si>
  <si>
    <t>A Study of the Life of Christ</t>
  </si>
  <si>
    <t>BT301.2 .P45eb</t>
  </si>
  <si>
    <t>Christian biography--Palestine.</t>
  </si>
  <si>
    <t>J. Dwight Pentecost</t>
  </si>
  <si>
    <t>Hearing the Message of Daniel</t>
  </si>
  <si>
    <t>Sustaining Faith in Todayâ€™s World</t>
  </si>
  <si>
    <t>BS1555.54</t>
  </si>
  <si>
    <t>Christianity and culture.,Religion.</t>
  </si>
  <si>
    <t>The Unfinished Reformation</t>
  </si>
  <si>
    <t>What Unites and Divides Catholics and Protestants After 500 Years</t>
  </si>
  <si>
    <t>BX4818.3 .A45 2016eb</t>
  </si>
  <si>
    <t>Protestant churches--Relations--Catholic Church.</t>
  </si>
  <si>
    <t>Gregg Allison-Christopher A. Castaldo</t>
  </si>
  <si>
    <t>The Voice of God in the Text of Scripture</t>
  </si>
  <si>
    <t>BT180.W67</t>
  </si>
  <si>
    <t>Word of God (Christian theology)</t>
  </si>
  <si>
    <t>The Story of Reality</t>
  </si>
  <si>
    <t>Apologetics.,Christian life.,Creation--Biblical teaching.,Future life--Biblical teaching.,God.,Religion.,Salvation--Christianity.,Theological anthropology.,Theology.</t>
  </si>
  <si>
    <t>The Triune God</t>
  </si>
  <si>
    <t>BT111.3</t>
  </si>
  <si>
    <t>God (Christianity),Trinity.</t>
  </si>
  <si>
    <t>Fred Sanders</t>
  </si>
  <si>
    <t>New Studies in Dogmatics / Michael Allen and Scott R. Swain, General Editors</t>
  </si>
  <si>
    <t>Revelation 17-22, Volume 52C</t>
  </si>
  <si>
    <t>BS2825.3 .A864 1997eb v.3</t>
  </si>
  <si>
    <t>Pastoral Epistles, Volume 46</t>
  </si>
  <si>
    <t>BS2735.3 .M68 2017</t>
  </si>
  <si>
    <t>Reason to Believe</t>
  </si>
  <si>
    <t>A Response to Common Objections to Christianity</t>
  </si>
  <si>
    <t>BT1102</t>
  </si>
  <si>
    <t>R.C. Sproul</t>
  </si>
  <si>
    <t>The Christian Writer's Manual of Style</t>
  </si>
  <si>
    <t>LANGUAGE ARTS &amp; DISCIPLINES / Style Manuals</t>
  </si>
  <si>
    <t>Robert Hudson</t>
  </si>
  <si>
    <t>A Doubter's Guide to the Ten Commandments</t>
  </si>
  <si>
    <t>How, for Better or Worse, Our Ideas About the Good Life Come From Moses and Jesus</t>
  </si>
  <si>
    <t>The Biblical Greek Companion for Bible Software Users</t>
  </si>
  <si>
    <t>Grammatical Terms Explained for Exegesis</t>
  </si>
  <si>
    <t>Greek language, Biblical--Computer-assisted instruction.,Greek language, Biblical--Self-instruction.</t>
  </si>
  <si>
    <t>A Guide to Biblical Commentaries and Reference Works</t>
  </si>
  <si>
    <t>10th Edition</t>
  </si>
  <si>
    <t>John F. Evans</t>
  </si>
  <si>
    <t>10th edition</t>
  </si>
  <si>
    <t>God's Word Alone---The Authority of Scripture</t>
  </si>
  <si>
    <t>Reformed Church--Doctrines.</t>
  </si>
  <si>
    <t>Matthew Barrett</t>
  </si>
  <si>
    <t>Hebrews 9-13, Volume 47B</t>
  </si>
  <si>
    <t>BS2775.3 .L364 1991eb v.2</t>
  </si>
  <si>
    <t>Ezra-Nehemiah, Volume 16</t>
  </si>
  <si>
    <t>BS1335.3 .W555 1985eb</t>
  </si>
  <si>
    <t>H.G.M. Williamson</t>
  </si>
  <si>
    <t>Ruth-Esther, Volume 9</t>
  </si>
  <si>
    <t>BS1315.3 .B847 1996eb</t>
  </si>
  <si>
    <t>Dr. Frederic W. Bush</t>
  </si>
  <si>
    <t>Job 38-42, Volume 18B</t>
  </si>
  <si>
    <t>BS1415.3 .C446 2017eb v.3</t>
  </si>
  <si>
    <t>Seeking Allah, Finding Jesus Study Guide</t>
  </si>
  <si>
    <t>A Former Muslim Shares the Evidence That Led Him From Islam to Christianity</t>
  </si>
  <si>
    <t>BV2626.3</t>
  </si>
  <si>
    <t>Christian converts from Islam--Study guides.</t>
  </si>
  <si>
    <t>Nabeel Qureshi-Kevin &amp; Sherry Harney</t>
  </si>
  <si>
    <t>Dictionary of Christian Spirituality</t>
  </si>
  <si>
    <t>BV4501.3 .Z66 2011eb</t>
  </si>
  <si>
    <t>Spirituality.</t>
  </si>
  <si>
    <t>Questions and Rhetoric in the Greek New Testament</t>
  </si>
  <si>
    <t>PA857</t>
  </si>
  <si>
    <t>Greek language, Biblical--Interrogative.</t>
  </si>
  <si>
    <t>Joshua 13-24, Volume 7B</t>
  </si>
  <si>
    <t>BS1295.53 .B87 2014eb</t>
  </si>
  <si>
    <t>Studying, Interpreting, and Applying the Bible</t>
  </si>
  <si>
    <t>BS605.2.H47 1990</t>
  </si>
  <si>
    <t>Walter A. Henrichsen-Gayle Jackson</t>
  </si>
  <si>
    <t>Handbook of Basic Bible Texts</t>
  </si>
  <si>
    <t>Every Key Passage for the Study of Doctrine and Theology</t>
  </si>
  <si>
    <t>BS511.2 .D385 1984eb</t>
  </si>
  <si>
    <t>John Jefferson Davis</t>
  </si>
  <si>
    <t>A Harmony of the Words and Works of Jesus Christ</t>
  </si>
  <si>
    <t>BS2560</t>
  </si>
  <si>
    <t>New Age Movement</t>
  </si>
  <si>
    <t>Ron Rhodes</t>
  </si>
  <si>
    <t>Zondervan Guide to Cults and Religious Movements</t>
  </si>
  <si>
    <t>English Grammar to Ace New Testament Greek</t>
  </si>
  <si>
    <t>English language--Grammar, Comparative--Greek.,Greek language, Biblical--Translating into English.,Greek language--Grammar, Comparative--English.</t>
  </si>
  <si>
    <t>Samuel Lamerson</t>
  </si>
  <si>
    <t>Satanism</t>
  </si>
  <si>
    <t>Bob Passantino-Gretchen Passantino</t>
  </si>
  <si>
    <t>Masonic Lodge</t>
  </si>
  <si>
    <t>HS475 .M38 1995eb</t>
  </si>
  <si>
    <t>Freemasonry.</t>
  </si>
  <si>
    <t>George Mather-Larry A. Nichols</t>
  </si>
  <si>
    <t>Zondervan Guide to Cults &amp; Religious Movements</t>
  </si>
  <si>
    <t>Jehovah's Witnesses</t>
  </si>
  <si>
    <t>BX8526.5</t>
  </si>
  <si>
    <t>Jehovah's Witnesses--Controversial literature.</t>
  </si>
  <si>
    <t>Robert M. Bowman Jr.</t>
  </si>
  <si>
    <t>Mormonism</t>
  </si>
  <si>
    <t>BX8645</t>
  </si>
  <si>
    <t>Mormon Church--Controversial literature.</t>
  </si>
  <si>
    <t>Kurt Van Gorden</t>
  </si>
  <si>
    <t>Hinduism, TM, and Hare Krishna</t>
  </si>
  <si>
    <t>BL1205</t>
  </si>
  <si>
    <t>Christianity and other religions--Hinduism.,Hinduism.,Hinduism--Relations--Christianity.,Transcendental Meditation.</t>
  </si>
  <si>
    <t>J. Isamu Yamamoto</t>
  </si>
  <si>
    <t>Unification Church</t>
  </si>
  <si>
    <t>Astrology and Psychic Phenomena</t>
  </si>
  <si>
    <t>Andre Kole-Terry Holley</t>
  </si>
  <si>
    <t>Buddhism</t>
  </si>
  <si>
    <t>Buddhism, Taoism and Other Far Eastern Religions</t>
  </si>
  <si>
    <t>Goddess Worship, Witchcraft, and Neo-Paganism</t>
  </si>
  <si>
    <t>BL473.5</t>
  </si>
  <si>
    <t>Apologetics.,Evangelicalism.,Goddess religion--Controversial literature.,Neopaganism.,Witchcraft.</t>
  </si>
  <si>
    <t>Craig Hawkins</t>
  </si>
  <si>
    <t>Jesus Only Churches</t>
  </si>
  <si>
    <t>BX8763 .B45 1998eb</t>
  </si>
  <si>
    <t>Oneness Pentecostal churches--Controversial literature.,Pentecostal churches--Controversial literature.</t>
  </si>
  <si>
    <t>E. Calvin Beisner</t>
  </si>
  <si>
    <t>Mind Sciences</t>
  </si>
  <si>
    <t>Christian Science, Religious Science, Unity School of Christianity</t>
  </si>
  <si>
    <t>Todd Ehrenborg</t>
  </si>
  <si>
    <t>Truth and Error</t>
  </si>
  <si>
    <t>Comparative Charts of Cults and Christianity</t>
  </si>
  <si>
    <t>The Pentateuch As Narrative</t>
  </si>
  <si>
    <t>A Biblical-Theological Commentary</t>
  </si>
  <si>
    <t>BS1225.3 .S235 2017eb</t>
  </si>
  <si>
    <t>Narration in the Bible.</t>
  </si>
  <si>
    <t>Library of Biblical Interpretation</t>
  </si>
  <si>
    <t>Story of God Commentary. Old Testament Series</t>
  </si>
  <si>
    <t>BS2665.53 .B56 2016eb</t>
  </si>
  <si>
    <t>Christological Anthropology in Historical Perspective</t>
  </si>
  <si>
    <t>Ancient and Contemporary Approaches to Theological Anthropology</t>
  </si>
  <si>
    <t>Theological anthropology--Christianity--History.</t>
  </si>
  <si>
    <t>NIV, Foundation Study Bible</t>
  </si>
  <si>
    <t>NIV, God's Justice: The Holy Bible</t>
  </si>
  <si>
    <t>The Flourishing of Creation and the Destruction of Evil</t>
  </si>
  <si>
    <t>Everett F. Harrison-Donald A. Hagner-Robert K. Rapa</t>
  </si>
  <si>
    <t>Lost Women of the Bible</t>
  </si>
  <si>
    <t>The Women We Thought We Knew</t>
  </si>
  <si>
    <t>BS575</t>
  </si>
  <si>
    <t>Christian women--Religious life.,Women in the Bible.</t>
  </si>
  <si>
    <t>BS2685.53</t>
  </si>
  <si>
    <t>Thomas R. Schreiner</t>
  </si>
  <si>
    <t>Forgive Us</t>
  </si>
  <si>
    <t>Confessions of a Compromised Faith</t>
  </si>
  <si>
    <t>Christianity--United States.,Confession.,Forgiveness of sin.,Laments--United States.,Repentance.,Sins.</t>
  </si>
  <si>
    <t>Mae Elise Cannon-Lisa Sharon Harper-Troy Jackson-Soong-Chan Rah</t>
  </si>
  <si>
    <t>Everything You Want to Know About the Bible</t>
  </si>
  <si>
    <t>Wellâ€¦Maybe Not Everything but Enough to Get You Started</t>
  </si>
  <si>
    <t>Peter Douglas Downey-Ben James Shaw</t>
  </si>
  <si>
    <t>1001 Illustrations That Connect</t>
  </si>
  <si>
    <t>Compelling Stories, Stats, and News Items for Preaching, Teaching, and Writing</t>
  </si>
  <si>
    <t>BV4225.3 .A14 2008eb</t>
  </si>
  <si>
    <t>Homiletical illustrations.</t>
  </si>
  <si>
    <t>Craig Brian Larson-Phyllis Ten Elshof</t>
  </si>
  <si>
    <t>Africa Bible Commentary Series</t>
  </si>
  <si>
    <t>Youth Ministry Nuts and Bolts, Revised and Updated</t>
  </si>
  <si>
    <t>Organizing, Leading, and Managing Your Youth Ministry</t>
  </si>
  <si>
    <t>Church group work with teenagers.,Church group work with youth.,Church work with teenagers.,Church work with youth.</t>
  </si>
  <si>
    <t>Rev. &amp; updated</t>
  </si>
  <si>
    <t>Unpacking Scripture in Youth Ministry</t>
  </si>
  <si>
    <t>BS600.3.R66 2013</t>
  </si>
  <si>
    <t>A Theological Journey Through Youth Ministry</t>
  </si>
  <si>
    <t>Unlocking Mission and Eschatology in Youth Ministry</t>
  </si>
  <si>
    <t>BV2090 .R66 2012eb</t>
  </si>
  <si>
    <t>Church work with youth.,Eschatology--Study and teaching.,Missions--Study and teaching.</t>
  </si>
  <si>
    <t>Taking Theology to Youth Ministry</t>
  </si>
  <si>
    <t>Church group work with youth.,Church group work.,Church work with youth.,Church work.,Pastoral theology.,Theology.</t>
  </si>
  <si>
    <t>Taking the Cross to Youth Ministry</t>
  </si>
  <si>
    <t>BT715</t>
  </si>
  <si>
    <t>A Critical Approach to Youth Culture</t>
  </si>
  <si>
    <t>Its Influence and Implications for Ministry</t>
  </si>
  <si>
    <t>HQ796 .E79 2010eb</t>
  </si>
  <si>
    <t>Adolescence.,Church group work with youth.,Church work with youth.,Culture.,Ethnology.,Religion and culture.,Subculture.,Teenagers--Religious life.,Teenagers--Social life and customs.</t>
  </si>
  <si>
    <t>Pamela J. Erwin</t>
  </si>
  <si>
    <t>Zondervan's Great Bible Trivia Workout</t>
  </si>
  <si>
    <t>Zondervan NIV Matthew Henry Commentary</t>
  </si>
  <si>
    <t>BS490 .H4 1992eb</t>
  </si>
  <si>
    <t>Matthew Henry</t>
  </si>
  <si>
    <t>Premier Reference Series</t>
  </si>
  <si>
    <t>Zondervan Illustrated Bible Dictionary</t>
  </si>
  <si>
    <t>BS440 .N44 2011eb</t>
  </si>
  <si>
    <t>J. D. Douglas-Merrill C. Tenney</t>
  </si>
  <si>
    <t>[Rev. ed.]</t>
  </si>
  <si>
    <t>Zondervan Dictionary of Biblical Imagery</t>
  </si>
  <si>
    <t>BS537</t>
  </si>
  <si>
    <t>Symbolism in the Bible--Dictionaries.</t>
  </si>
  <si>
    <t>Zondervan Dictionary of Bible and Theology Words</t>
  </si>
  <si>
    <t>BR95</t>
  </si>
  <si>
    <t>Theology--Dictionaries.</t>
  </si>
  <si>
    <t>Matthew S. DeMoss-J. Edward Miller</t>
  </si>
  <si>
    <t>Zondervan Bible Dictionary</t>
  </si>
  <si>
    <t>Zondervan-J. D. Douglas-C. Merrill</t>
  </si>
  <si>
    <t>Zondervan All-in-One Bible Reference Guide</t>
  </si>
  <si>
    <t>Zondervan-Kevin Green</t>
  </si>
  <si>
    <t>Youth Ministry Management Tools 2.0</t>
  </si>
  <si>
    <t>Everything You Need to Successfully Manage Your Ministry</t>
  </si>
  <si>
    <t>BV4447.W6685 2014</t>
  </si>
  <si>
    <t>Mike A. Work-Ginny Olson</t>
  </si>
  <si>
    <t>Worship Old and New</t>
  </si>
  <si>
    <t>BV15.W4 1994</t>
  </si>
  <si>
    <t>Evangelicalism.,Public worship.</t>
  </si>
  <si>
    <t>Worship by the Book</t>
  </si>
  <si>
    <t>BV15 .W66 2010eb</t>
  </si>
  <si>
    <t>Occasional services.,Public worship.,Worship programs.</t>
  </si>
  <si>
    <t>Rev. Mark Ashton-R. Kent Hughes-Timothy Keller</t>
  </si>
  <si>
    <t>Worldviews in Conflict</t>
  </si>
  <si>
    <t>Choosing Christianity in the World of Ideas</t>
  </si>
  <si>
    <t>BT1102 .N37 2010eb</t>
  </si>
  <si>
    <t>Apologetics.,Naturalism.,New Age movement.</t>
  </si>
  <si>
    <t>Ronald H. Nash</t>
  </si>
  <si>
    <t>Worldly Saints</t>
  </si>
  <si>
    <t>The Puritans As They Really Were</t>
  </si>
  <si>
    <t>BX9322 .R94 2010eb</t>
  </si>
  <si>
    <t>Puritans.,Reformed Church.</t>
  </si>
  <si>
    <t>Women of the Old Testament</t>
  </si>
  <si>
    <t>50 Devotional Messages for Women's Groups</t>
  </si>
  <si>
    <t>Women in the Bible.</t>
  </si>
  <si>
    <t>Abraham Kuyper</t>
  </si>
  <si>
    <t>Why You Think the Way You Do</t>
  </si>
  <si>
    <t>The Story of Western Worldviews From Rome to Home</t>
  </si>
  <si>
    <t>B72</t>
  </si>
  <si>
    <t>Christianity--Influence.,Christianity--Philosophy.,Philosophy--History.</t>
  </si>
  <si>
    <t>Glenn S. Sunshine</t>
  </si>
  <si>
    <t>Why the Church Needs Bioethics</t>
  </si>
  <si>
    <t>A Guide to Wise Engagement with Lifeâ€™s Challenges</t>
  </si>
  <si>
    <t>R725.55</t>
  </si>
  <si>
    <t>Bioethics--Religious aspects--Christianity.,Christian ethics.,Medical ethics--Religious aspects--Christianity.</t>
  </si>
  <si>
    <t>Zondervan-John F. Kilner</t>
  </si>
  <si>
    <t>When Life and Beliefs Collide</t>
  </si>
  <si>
    <t>How Knowing God Makes a Difference</t>
  </si>
  <si>
    <t>BV4527 .J353 2003eb</t>
  </si>
  <si>
    <t>What's Best Next</t>
  </si>
  <si>
    <t>BT738.5 .P48 2014eb</t>
  </si>
  <si>
    <t>Industrial productivity.,Labor productivity.,Performance technology.,Work--Religious aspects--Christianity.</t>
  </si>
  <si>
    <t>What Does God Know and When Does He Know It?</t>
  </si>
  <si>
    <t>The Current Controversy Over Divine Foreknowledge</t>
  </si>
  <si>
    <t>BT131 .E75 2009eb</t>
  </si>
  <si>
    <t>Free will and determinism--Religious aspects--Christianity.,God (Christianity)--Omniscience.</t>
  </si>
  <si>
    <t>Millard J. Erickson</t>
  </si>
  <si>
    <t>Gays--Religious life.,Homosexuality--Religious aspects--Christianity.</t>
  </si>
  <si>
    <t>An Effective Short-Term Approach for Getting People Back on Track</t>
  </si>
  <si>
    <t>Pastoral counseling.,Short-term counseling--Religious aspects--Christianity.,Solution-focused therapy--Religious aspects--Christianity.</t>
  </si>
  <si>
    <t>Updated and exp</t>
  </si>
  <si>
    <t>Voting As a Christian: The Social Issues</t>
  </si>
  <si>
    <t>Bible and politics--United States.,Christianity and politics--United States.,Church and social problems--United States.</t>
  </si>
  <si>
    <t>Voting As a Christian</t>
  </si>
  <si>
    <t>Voting As a Christian: The Economic and Foreign Policy Issues</t>
  </si>
  <si>
    <t>JA71</t>
  </si>
  <si>
    <t>Christianity and politics.,Church and social problems.,Political science--Philosophy.,Politics in the Bible.,Voting--Religious aspects.</t>
  </si>
  <si>
    <t>Unmasking the Cults</t>
  </si>
  <si>
    <t>Alan W. Gomes</t>
  </si>
  <si>
    <t>Unitarian Universalism</t>
  </si>
  <si>
    <t>BX9847</t>
  </si>
  <si>
    <t>Unitarian Universalist churches--Controversial literature.</t>
  </si>
  <si>
    <t>Understanding Your Mormon Neighbor</t>
  </si>
  <si>
    <t>A Quick Christian Guide for Relating to Latter-day Saints</t>
  </si>
  <si>
    <t>BX8635.3</t>
  </si>
  <si>
    <t>Mormons.</t>
  </si>
  <si>
    <t>Understanding the Koran</t>
  </si>
  <si>
    <t>A Quick Christian Guide to the Muslim Holy Book</t>
  </si>
  <si>
    <t>BP134.B4 E43 2009eb</t>
  </si>
  <si>
    <t>Christianity and other religions--Islam.,Islam--Relations--Christianity.</t>
  </si>
  <si>
    <t>Mateen Elass</t>
  </si>
  <si>
    <t>Understanding the Book of Mormon</t>
  </si>
  <si>
    <t>A Quick Christian Guide to the Mormon Holy Book</t>
  </si>
  <si>
    <t>BX8627</t>
  </si>
  <si>
    <t>Understanding the Bible</t>
  </si>
  <si>
    <t>BS511.2</t>
  </si>
  <si>
    <t>Dr. John R.W. Stott</t>
  </si>
  <si>
    <t>Understanding Sexual Identity</t>
  </si>
  <si>
    <t>A Resource for Youth Ministry</t>
  </si>
  <si>
    <t>Church work with teenagers.,Church work with youth.,Gender identity.,Identity (Psychology)--Religious aspects--Christianity.,Sex--Religious aspects--Christianity.</t>
  </si>
  <si>
    <t>Understanding Four Views on Baptism</t>
  </si>
  <si>
    <t>BV811.3 .N48 2009eb</t>
  </si>
  <si>
    <t>Baptism--History of doctrines.</t>
  </si>
  <si>
    <t>Understanding Biblical Theology</t>
  </si>
  <si>
    <t>A Comparison of Theory and Practice</t>
  </si>
  <si>
    <t>Edward W Klink III-Darian R. Lockett</t>
  </si>
  <si>
    <t>Two Views on the Doctrine of the Trinity</t>
  </si>
  <si>
    <t>Trinity.</t>
  </si>
  <si>
    <t>Stephen R. Holmes-Paul D. Molnar-Thomas H. McCall-Paul Fiddes</t>
  </si>
  <si>
    <t>Counterpoints: Bible &amp; Theology</t>
  </si>
  <si>
    <t>Truth Aflame</t>
  </si>
  <si>
    <t>Theology for the Church in Renewal</t>
  </si>
  <si>
    <t>Evangelicalism.,Theology, Doctrinal--Popular works.</t>
  </si>
  <si>
    <t>Larry D. Hart</t>
  </si>
  <si>
    <t>Three Views on the New Testament Use of the Old Testament</t>
  </si>
  <si>
    <t>BS2387</t>
  </si>
  <si>
    <t>Zondervan-Kenneth Berding-Jonathan Lunde</t>
  </si>
  <si>
    <t>Counterpoints Series. Bible &amp; Theology</t>
  </si>
  <si>
    <t>Three Views on Eastern Orthodoxy and Evangelicalism</t>
  </si>
  <si>
    <t>RELIGION / Christianity / Orthodox</t>
  </si>
  <si>
    <t>BX324.5 .T48 2009eb</t>
  </si>
  <si>
    <t>Evangelicalism--Relations--Orthodox Eastern Church.</t>
  </si>
  <si>
    <t>Think Christianly</t>
  </si>
  <si>
    <t>Looking at the Intersection of Faith and Culture</t>
  </si>
  <si>
    <t>Christianity and culture--Religious aspects--Christianity.</t>
  </si>
  <si>
    <t>Jonathan Morrow</t>
  </si>
  <si>
    <t>Things to Come</t>
  </si>
  <si>
    <t>A Study in Biblical Eschatology</t>
  </si>
  <si>
    <t>BS680.E8</t>
  </si>
  <si>
    <t>Their Rock Is Not Like Our Rock</t>
  </si>
  <si>
    <t>A Theology of Religions</t>
  </si>
  <si>
    <t>Daniel Strange</t>
  </si>
  <si>
    <t>The Zondervan Encyclopedia of the Bible, Volume 5</t>
  </si>
  <si>
    <t>Revised Full-Color Edition</t>
  </si>
  <si>
    <t>BS440 .Z63 2010eb</t>
  </si>
  <si>
    <t>Merrill C. Tenney</t>
  </si>
  <si>
    <t>The Zondervan Encyclopedia of the Bible</t>
  </si>
  <si>
    <t>The Zondervan Encyclopedia of the Bible, Volume 4</t>
  </si>
  <si>
    <t>The Zondervan Encyclopedia of the Bible, Volume 3</t>
  </si>
  <si>
    <t>The Zondervan Encyclopedia of the Bible, Volume 2</t>
  </si>
  <si>
    <t>The Zondervan Encyclopedia of the Bible, Volume 1</t>
  </si>
  <si>
    <t>The Writings of John</t>
  </si>
  <si>
    <t>A Survey of the Gospel, Epistles, and Apocalypse</t>
  </si>
  <si>
    <t>BS2601</t>
  </si>
  <si>
    <t>C. Marvin Pate</t>
  </si>
  <si>
    <t>The Way of Wisdom</t>
  </si>
  <si>
    <t>Essays in Honor of Bruce K. Waltke</t>
  </si>
  <si>
    <t>Wisdom literature.,Wisdom--Biblical teaching.,Wisdom--Religious aspects--Christianity.</t>
  </si>
  <si>
    <t>Zondervan-J. I. Packer-Sven K. Soderlund</t>
  </si>
  <si>
    <t>The Unity of the Bible</t>
  </si>
  <si>
    <t>Unfolding God's Plan for Humanity</t>
  </si>
  <si>
    <t>Daniel Fuller</t>
  </si>
  <si>
    <t>The Trinity of Sin</t>
  </si>
  <si>
    <t>BT715 .T87 2011eb</t>
  </si>
  <si>
    <t>God (Christianity),Sin--Christianity.,Theology--Africa.</t>
  </si>
  <si>
    <t>Turaki, Yusufu</t>
  </si>
  <si>
    <t>The Scalpel and the Cross</t>
  </si>
  <si>
    <t>A Theology of Surgery</t>
  </si>
  <si>
    <t>BT732.2 .G74 2014eb</t>
  </si>
  <si>
    <t>Medicine--Religious aspects--Christianity.,Surgery--Miscellanea.</t>
  </si>
  <si>
    <t>Gene L. Green</t>
  </si>
  <si>
    <t>The Sacred Way</t>
  </si>
  <si>
    <t>Spiritual Practices for Everyday Life</t>
  </si>
  <si>
    <t>Tony Jones</t>
  </si>
  <si>
    <t>The Rapture Question</t>
  </si>
  <si>
    <t>BT887</t>
  </si>
  <si>
    <t>John F. Walvoord</t>
  </si>
  <si>
    <t>The Promise-Plan of God</t>
  </si>
  <si>
    <t>A Biblical Theology of the Old and New Testaments</t>
  </si>
  <si>
    <t>BS543 .K35 2009eb</t>
  </si>
  <si>
    <t>God--Promises.</t>
  </si>
  <si>
    <t>The Promise and the Blessing</t>
  </si>
  <si>
    <t>A Historical Survey of the Old and New Testaments</t>
  </si>
  <si>
    <t>BS635.3</t>
  </si>
  <si>
    <t>Michael A. Harbin</t>
  </si>
  <si>
    <t>The Political Disciple</t>
  </si>
  <si>
    <t>A Theology of Public Life</t>
  </si>
  <si>
    <t>Christian leadership.,Christianity and politics.,Political participation.,Public officers.</t>
  </si>
  <si>
    <t>Vincent E. Bacote</t>
  </si>
  <si>
    <t>Ordinary Theology</t>
  </si>
  <si>
    <t>The Pastor Theologian</t>
  </si>
  <si>
    <t>Resurrecting an Ancient Vision</t>
  </si>
  <si>
    <t>Gerald Hiestand-Todd A. Wilson</t>
  </si>
  <si>
    <t>Faith, Friends, Family, and the Digital World</t>
  </si>
  <si>
    <t>BR115.T42 C435 2015eb</t>
  </si>
  <si>
    <t>The New Mormon Challenge</t>
  </si>
  <si>
    <t>Responding to the Latest Defenses of a Fast-Growing Movement</t>
  </si>
  <si>
    <t>The New Matthew Henry Commentary: Complete and Unabridged</t>
  </si>
  <si>
    <t>Matthew Henry-Martin H. Manser</t>
  </si>
  <si>
    <t>The New Matthew Henry Commentary</t>
  </si>
  <si>
    <t>The Classic Work with Updated Language</t>
  </si>
  <si>
    <t>Abridged ed. with updated language</t>
  </si>
  <si>
    <t>The Most Significant People, Places, and Events in the Bible</t>
  </si>
  <si>
    <t>A Quickview Guide</t>
  </si>
  <si>
    <t>BS593</t>
  </si>
  <si>
    <t>The Mormon Mirage</t>
  </si>
  <si>
    <t>A Former Member Looks at the Mormon Church Today</t>
  </si>
  <si>
    <t>Latayne C. Scott</t>
  </si>
  <si>
    <t>The Ministry Staff Member</t>
  </si>
  <si>
    <t>A Contemporary, Practical Handbook to Equip, Encourage, and Empower</t>
  </si>
  <si>
    <t>BV705</t>
  </si>
  <si>
    <t>Christian leadership--Handbooks, manuals, etc.,Church management--Handbooks, manuals, etc.,Church officers--Handbooks, manuals, etc.</t>
  </si>
  <si>
    <t>Douglas L. Fagerstrom</t>
  </si>
  <si>
    <t>The Letters of John</t>
  </si>
  <si>
    <t>BS2805.3</t>
  </si>
  <si>
    <t>Gary M. Burge</t>
  </si>
  <si>
    <t>The Inklings of Oxford</t>
  </si>
  <si>
    <t>C. S. Lewis, J. R. R. Tolkien, and Their Friends</t>
  </si>
  <si>
    <t>Harry Lee Poe</t>
  </si>
  <si>
    <t>A Comprehensive Study of the Person and Work of the Holy Spirit</t>
  </si>
  <si>
    <t>BT121</t>
  </si>
  <si>
    <t>BT119</t>
  </si>
  <si>
    <t>Holy Spirit--History of doctrines.</t>
  </si>
  <si>
    <t>Christopher R. J. Holmes</t>
  </si>
  <si>
    <t>The Heart of Love</t>
  </si>
  <si>
    <t>Obeying God's Two Great Commandments</t>
  </si>
  <si>
    <t>Ted Rivera</t>
  </si>
  <si>
    <t>The Hardest Sermons You'll Ever Have to Preach</t>
  </si>
  <si>
    <t>Help From Trusted Preachers for Tragic Times</t>
  </si>
  <si>
    <t>Consolation--Sermons.,Sermons, American.,Suffering--Religious aspects--Christianity--Sermons.</t>
  </si>
  <si>
    <t>Zondervan-Bryan Chapell</t>
  </si>
  <si>
    <t>The Gospel of Ruth</t>
  </si>
  <si>
    <t>Loving God Enough to Break the Rules</t>
  </si>
  <si>
    <t>BS1315.53</t>
  </si>
  <si>
    <t>How Working for King Jesus Gives Purpose and Meaning to Our Jobs</t>
  </si>
  <si>
    <t>Employees--Religious life.,Work--Religious aspects--Christianity.</t>
  </si>
  <si>
    <t>The Gagging of God</t>
  </si>
  <si>
    <t>Christianity Confronts Pluralism</t>
  </si>
  <si>
    <t>BT118 .C37 2009eb</t>
  </si>
  <si>
    <t>Hermeneutics--Religious aspects--Christianity.,Religious pluralism.,Salvation outside the church.,Theology, Doctrinal--History--20th century.,Theology--Methodology.</t>
  </si>
  <si>
    <t>The Essential Bible Companion to the Psalms</t>
  </si>
  <si>
    <t>Key Insights for Reading Godâ€™s Word</t>
  </si>
  <si>
    <t>BS1430.52</t>
  </si>
  <si>
    <t>Brian Webster-David R. Beach</t>
  </si>
  <si>
    <t>The Emotionally Healthy Leader</t>
  </si>
  <si>
    <t>How Transforming Your Inner Life Will Deeply Transform Your Church, Team, and the World</t>
  </si>
  <si>
    <t>BV4398</t>
  </si>
  <si>
    <t>The Crucified King</t>
  </si>
  <si>
    <t>Atonement and Kingdom in Biblical and Systematic Theology</t>
  </si>
  <si>
    <t>BT453</t>
  </si>
  <si>
    <t>Atonement.,Atonement--Biblical teaching.</t>
  </si>
  <si>
    <t>The Complete Literary Guide to the Bible</t>
  </si>
  <si>
    <t>Leland Ryken-Tremper Longman III</t>
  </si>
  <si>
    <t>The Church in Emerging Culture: Five Perspectives</t>
  </si>
  <si>
    <t>BR115.C8 C495  2003aeb</t>
  </si>
  <si>
    <t>Christianity and culture.,Church renewal.,Postmodernism--Religious aspects--Christianity.</t>
  </si>
  <si>
    <t>Michael Horton-Frederica Mathewes-Green-Brian D. McLaren-Erwin Raphael McManus-Andy Crouch</t>
  </si>
  <si>
    <t>The Christian Tradition in English Literature</t>
  </si>
  <si>
    <t>PR145.C38 2007</t>
  </si>
  <si>
    <t>Christian literature, English--History and criticism.,Christianity and literature--England--History.,English literature--History and criticism.,Religion and literature.</t>
  </si>
  <si>
    <t>Paul Cavill-Heather Ward</t>
  </si>
  <si>
    <t>The Christian Counselor's Manual</t>
  </si>
  <si>
    <t>The Practice of Nouthetic Counseling</t>
  </si>
  <si>
    <t>The Jay Adams Library</t>
  </si>
  <si>
    <t>The Challenge of the Cults and New Religions</t>
  </si>
  <si>
    <t>The Essential Guide to Their History, Their Doctrine, and Our Response</t>
  </si>
  <si>
    <t>BT1240</t>
  </si>
  <si>
    <t>Apologetics.,Cults.</t>
  </si>
  <si>
    <t>The Case for Progressive Dispensationalism</t>
  </si>
  <si>
    <t>The Interface Between Dispensational and Non-Dispensational Theology</t>
  </si>
  <si>
    <t>BT157</t>
  </si>
  <si>
    <t>Robert Saucy</t>
  </si>
  <si>
    <t>BS475.2</t>
  </si>
  <si>
    <t>The Bible and the University</t>
  </si>
  <si>
    <t>Zondervan-David Lyle Jeffrey-C. Stephen Evans</t>
  </si>
  <si>
    <t>The Bible and the Land</t>
  </si>
  <si>
    <t>BS630</t>
  </si>
  <si>
    <t>Ancient Context, Ancient Faith</t>
  </si>
  <si>
    <t>The Bible and Future Events</t>
  </si>
  <si>
    <t>An Introductory Survey of Last-Day Events</t>
  </si>
  <si>
    <t>Leon J. Wood</t>
  </si>
  <si>
    <t>The Best Kept Secret of Christian Mission</t>
  </si>
  <si>
    <t>Promoting the Gospel with More Than Our Lips</t>
  </si>
  <si>
    <t>BV2061.3 .D53 2010eb</t>
  </si>
  <si>
    <t>Missions.,Witness bearing (Christianity)</t>
  </si>
  <si>
    <t>Telling the Truth</t>
  </si>
  <si>
    <t>Evangelizing Postmoderns</t>
  </si>
  <si>
    <t>BV3795 .T45 2010eb</t>
  </si>
  <si>
    <t>Evangelistic work--Congresses.,Postmodernism--Religious aspects--Christianity--Congresses.</t>
  </si>
  <si>
    <t>Talking with Catholics About the Gospel</t>
  </si>
  <si>
    <t>A Guide for Evangelicals</t>
  </si>
  <si>
    <t>BR1641.C37</t>
  </si>
  <si>
    <t>Evangelicalism--Relations--Catholich Church.</t>
  </si>
  <si>
    <t>Surprising Insights From the Unchurched and Proven Ways to Reach Them</t>
  </si>
  <si>
    <t>BR526 .R35 2009eb</t>
  </si>
  <si>
    <t>Evangelistic work--United States.,Non-church-affiliated people--United States.</t>
  </si>
  <si>
    <t>Surprised by the Voice of God</t>
  </si>
  <si>
    <t>How God Speaks Today Through Prophecies, Dreams, and Visions</t>
  </si>
  <si>
    <t>Dreams--Religious aspects--Christianity.,Gifts, Spiritual.,Prophecies.,Visions.</t>
  </si>
  <si>
    <t>Sticky Teams</t>
  </si>
  <si>
    <t>Keeping Your Leadership Team and Staff on the Same Page</t>
  </si>
  <si>
    <t>BV675 .O72 2010eb</t>
  </si>
  <si>
    <t>Christian leadership.,Church group work.,Church work.,Group ministry.,Pastoral theology.</t>
  </si>
  <si>
    <t>Spirit and Power</t>
  </si>
  <si>
    <t>Foundations of Pentecostal Experience</t>
  </si>
  <si>
    <t>BR1644</t>
  </si>
  <si>
    <t>Pentecostalism.,Theology, Doctrinal.</t>
  </si>
  <si>
    <t>William W. Menzies-Robert P. Menzies</t>
  </si>
  <si>
    <t>South Asia Bible Commentary</t>
  </si>
  <si>
    <t>A One-Volume Commentary on the Whole Bible</t>
  </si>
  <si>
    <t>Theology--South Asia.</t>
  </si>
  <si>
    <t>Zondervan-Havilah Dharamraj-Jesudason Baskar Jeyaraj-Paul Swarup-Jacob Cherian-Finny Philip</t>
  </si>
  <si>
    <t>Show Them No Mercy</t>
  </si>
  <si>
    <t>4 Views on God and Canaanite Genocide</t>
  </si>
  <si>
    <t>BS680.W2 S48 2003eb</t>
  </si>
  <si>
    <t>Canaanites--Biblical teaching.,Genocide--Biblical teaching.,War--Biblical teaching.</t>
  </si>
  <si>
    <t>C. S. Cowles-Eugene H. Merrill-Daniel L. Gard-Tremper Longman III</t>
  </si>
  <si>
    <t>Should We Use Someone Else's Sermon?</t>
  </si>
  <si>
    <t>Preaching in a Cut-and-Paste World</t>
  </si>
  <si>
    <t>Scott M. Gibson</t>
  </si>
  <si>
    <t>Sermon on the Mount</t>
  </si>
  <si>
    <t>BT380.3 .M43 2013eb</t>
  </si>
  <si>
    <t>Second Forgetting</t>
  </si>
  <si>
    <t>Remembering the Power of the Gospel During Alzheimerâ€™s Disease</t>
  </si>
  <si>
    <t>BV4910.6.A55</t>
  </si>
  <si>
    <t>Alzheimer's disease--Patients--Religious life.,Alzheimer's disease--Religious aspects--Christianity.,Caregivers--Religious life.,Caring--Religious aspects--Christianity.</t>
  </si>
  <si>
    <t>Dr. Benjamin T. Mast</t>
  </si>
  <si>
    <t>Scripture and Counseling</t>
  </si>
  <si>
    <t>God's Word for Life in a Broken World</t>
  </si>
  <si>
    <t>Christian life--Biblical teaching.,Counseling--Religious aspects--Christianity.</t>
  </si>
  <si>
    <t>Bob Kellemen-Jeff Forrey</t>
  </si>
  <si>
    <t>Routes and Radishes</t>
  </si>
  <si>
    <t>And Other Things to Talk About at the Evangelical Crossroads</t>
  </si>
  <si>
    <t>Mark L. Russell-Allen L. Yeh-Michelle Sanchez-Chelle Stearns-Dwight J. Friesen</t>
  </si>
  <si>
    <t>Romans to Philemon</t>
  </si>
  <si>
    <t>Volume Three</t>
  </si>
  <si>
    <t>BS2341.52</t>
  </si>
  <si>
    <t>BS2665.53 .A53 2012</t>
  </si>
  <si>
    <t>Andria, Solomon</t>
  </si>
  <si>
    <t>BS2665.3 .M554 2009eb</t>
  </si>
  <si>
    <t>Revelation Unveiled</t>
  </si>
  <si>
    <t>BS2825.3 .K43 2009eb</t>
  </si>
  <si>
    <t>Resonate</t>
  </si>
  <si>
    <t>Enjoying God's Gift of Music</t>
  </si>
  <si>
    <t>ML3921.2</t>
  </si>
  <si>
    <t>Church music.,Music--Religious aspects--Christianity.</t>
  </si>
  <si>
    <t>Mark Beuving</t>
  </si>
  <si>
    <t>Renewal Theology</t>
  </si>
  <si>
    <t>Systematic Theology From a Charismatic Perspective</t>
  </si>
  <si>
    <t>BT75.2</t>
  </si>
  <si>
    <t>J. Rodman Williams</t>
  </si>
  <si>
    <t>Remarriage After Divorce in Today's Church</t>
  </si>
  <si>
    <t>RELIGION / Christian Church / Canon &amp; Ecclesiastical Law</t>
  </si>
  <si>
    <t>BV838.W46 2006</t>
  </si>
  <si>
    <t>Remarriage--Religious aspects--Christianity.</t>
  </si>
  <si>
    <t>Counterpoints: Church Life Ser</t>
  </si>
  <si>
    <t>Rediscovering Discipleship</t>
  </si>
  <si>
    <t>Making Jesusâ€™ Final Words Our First Work</t>
  </si>
  <si>
    <t>Redefining Leadership</t>
  </si>
  <si>
    <t>Character-Driven Habits of Effective Leaders</t>
  </si>
  <si>
    <t>Joseph M. Stowell</t>
  </si>
  <si>
    <t>Recovering the Unity of the Bible</t>
  </si>
  <si>
    <t>One Continuous Story, Plan, and Purpose</t>
  </si>
  <si>
    <t>BS511.3</t>
  </si>
  <si>
    <t>Reclaiming Love</t>
  </si>
  <si>
    <t>Radical Relationships in a Complex World</t>
  </si>
  <si>
    <t>Interpersonal relations--Religious aspects--Christianity.,Love--Religious aspects--Christianity.</t>
  </si>
  <si>
    <t>Ajith Fernando</t>
  </si>
  <si>
    <t>Real Christian</t>
  </si>
  <si>
    <t>Bearing the Marks of Authentic Faith</t>
  </si>
  <si>
    <t>BV4599.5.C45</t>
  </si>
  <si>
    <t>Character--Religious aspects--Christianity.,Christian life.</t>
  </si>
  <si>
    <t>Reading Romans in Context</t>
  </si>
  <si>
    <t>Paul and Second Temple Judaism</t>
  </si>
  <si>
    <t>BL41</t>
  </si>
  <si>
    <t>Purpose Driven Youth Ministry</t>
  </si>
  <si>
    <t>9 Essential Foundations for Healthy Growth</t>
  </si>
  <si>
    <t>Psalms Volume 1</t>
  </si>
  <si>
    <t>BS491.3 .N58 v.13 2002eb</t>
  </si>
  <si>
    <t>Gerald H. Wilson</t>
  </si>
  <si>
    <t>Proverbs, Ecclesiastes, Song of Songs</t>
  </si>
  <si>
    <t>Allen P. Ross-Jerry E. Shepherd-George Schwab</t>
  </si>
  <si>
    <t>Paul Koptak</t>
  </si>
  <si>
    <t>Prostitutes and Polygamists</t>
  </si>
  <si>
    <t>A Look at Love, Old Testament Style</t>
  </si>
  <si>
    <t>PROOF</t>
  </si>
  <si>
    <t>Finding Freedom Through the Intoxicating Joy of Irresistible Grace</t>
  </si>
  <si>
    <t>BT761.3</t>
  </si>
  <si>
    <t>Grace (Theology),Liberty--Religious aspects--Christianity.</t>
  </si>
  <si>
    <t>Daniel Montgomery-Timothy Paul Jones</t>
  </si>
  <si>
    <t>Preaching That Connects</t>
  </si>
  <si>
    <t>Using Techniques of Journalists to Add Impact</t>
  </si>
  <si>
    <t>Mark Galli</t>
  </si>
  <si>
    <t>Preaching God's Word</t>
  </si>
  <si>
    <t>Terry G. Carter</t>
  </si>
  <si>
    <t>Power, Pathology, Paradox</t>
  </si>
  <si>
    <t>The Dynamics of Evil and Good</t>
  </si>
  <si>
    <t>BJ1401</t>
  </si>
  <si>
    <t>Good and evil.,Psychology, Pathological.,Religion.,Spiritual life.</t>
  </si>
  <si>
    <t>Marguerite Shuster</t>
  </si>
  <si>
    <t>Postmodern Children's Ministry</t>
  </si>
  <si>
    <t>Ministry to Children in the 21st Century Church</t>
  </si>
  <si>
    <t>BV639.C4 B38 2009</t>
  </si>
  <si>
    <t>Church work with children.,Postmodernism--Religious aspects--Christianity.</t>
  </si>
  <si>
    <t>Ivy Beckwith</t>
  </si>
  <si>
    <t>Politics - According to the Bible</t>
  </si>
  <si>
    <t>A Comprehensive Resource for Understanding Modern Political Issues in Light of Scripture</t>
  </si>
  <si>
    <t>Bible and politics.,Christianity and politics.,Church and social problems.,Political science--Philosophy.,Politics in the Bible.</t>
  </si>
  <si>
    <t>BS2705.53</t>
  </si>
  <si>
    <t>Lynn H. Cohick</t>
  </si>
  <si>
    <t>BS2705.3 .T47 1995eb</t>
  </si>
  <si>
    <t>People to Be Loved</t>
  </si>
  <si>
    <t>Why Homosexuality Is Not Just an Issue</t>
  </si>
  <si>
    <t>BS680.H67 S674 2015eb</t>
  </si>
  <si>
    <t>Homosexuality--Biblical teaching.,Homosexuality--Religious aspects--Christianity.</t>
  </si>
  <si>
    <t>Preston Sprinkle</t>
  </si>
  <si>
    <t>Paul and Union with Christ</t>
  </si>
  <si>
    <t>BS2655.M85</t>
  </si>
  <si>
    <t>Mystical union.</t>
  </si>
  <si>
    <t>Paul and Money</t>
  </si>
  <si>
    <t>A Biblical and Theological Analysis of the Apostleâ€™s Teachings and Practices</t>
  </si>
  <si>
    <t>BS680.M57</t>
  </si>
  <si>
    <t>Money--Biblical teaching.,Money--Religious aspects--Christianity.</t>
  </si>
  <si>
    <t>Verlyn Verbrugge-Keith R. Krell</t>
  </si>
  <si>
    <t>Parade of Faith</t>
  </si>
  <si>
    <t>A Biographical History of the Christian Church</t>
  </si>
  <si>
    <t>Christian biography.,Church history.,Religion.</t>
  </si>
  <si>
    <t>Out of Egypt: Biblical Theology and Biblical Interpretation</t>
  </si>
  <si>
    <t>Zondervan-Craig Bartholomew-Mary Healy-Karl MÃ¶ller-Robin Parry</t>
  </si>
  <si>
    <t>Organic Outreach for Families</t>
  </si>
  <si>
    <t>Turning Your Home Into a Lighthouse</t>
  </si>
  <si>
    <t>BR115.H56</t>
  </si>
  <si>
    <t>Evangelistic work.,Families--Religious life.,Home--Religious aspects--Christianity.,Hospitality--Religious aspects--Christianity.</t>
  </si>
  <si>
    <t>Kevin &amp; Sherry Harney</t>
  </si>
  <si>
    <t>Ordinary</t>
  </si>
  <si>
    <t>Sustainable Faith in a Radical, Restless World</t>
  </si>
  <si>
    <t>One.Life</t>
  </si>
  <si>
    <t>Jesus Calls, We Follow</t>
  </si>
  <si>
    <t>Old Testament History</t>
  </si>
  <si>
    <t>BS1197</t>
  </si>
  <si>
    <t>Jews--History--To 70 A.D.</t>
  </si>
  <si>
    <t>Zondervan Quick Reference Library</t>
  </si>
  <si>
    <t>NIV Bible Study Commentary</t>
  </si>
  <si>
    <t>New Testament Theology</t>
  </si>
  <si>
    <t>BS2397</t>
  </si>
  <si>
    <t>New International Encyclopedia of Bible Difficulties</t>
  </si>
  <si>
    <t>BS612</t>
  </si>
  <si>
    <t>Gleason L. Archer, Jr.</t>
  </si>
  <si>
    <t>New International Encyclopedia of Bible Characters</t>
  </si>
  <si>
    <t>The Complete Who's Who in the Bible</t>
  </si>
  <si>
    <t>BS570 .C645 2001</t>
  </si>
  <si>
    <t>Zondervan-Paul D. Gardner</t>
  </si>
  <si>
    <t>Understand the Bible Reference Series</t>
  </si>
  <si>
    <t>My Final Word</t>
  </si>
  <si>
    <t>Holding Tight to the Issues That Matter Most</t>
  </si>
  <si>
    <t>BT738 .C642 2015eb</t>
  </si>
  <si>
    <t>Christian sociology--United States.,Christianity and politics.</t>
  </si>
  <si>
    <t>Charles W. Colson-Anne Morse</t>
  </si>
  <si>
    <t>Movie-Based Illustrations for Preaching and Teaching</t>
  </si>
  <si>
    <t>101 Clips to Show or Tell</t>
  </si>
  <si>
    <t>BV4225.3 .L36 2010eb</t>
  </si>
  <si>
    <t>Craig Brian Larson-Andrew Zahn</t>
  </si>
  <si>
    <t>Movie-Based Illustrations</t>
  </si>
  <si>
    <t>Mounce's Complete Expository Dictionary of Old and New Testament Words</t>
  </si>
  <si>
    <t>Missions</t>
  </si>
  <si>
    <t>Biblical Foundations and Contemporary Strategies</t>
  </si>
  <si>
    <t>Christianity and culture.,Missions--Theory.</t>
  </si>
  <si>
    <t>Gailyn Van Rheenen</t>
  </si>
  <si>
    <t>2nd edition</t>
  </si>
  <si>
    <t>BS2575.53 .O83 2010eb</t>
  </si>
  <si>
    <t>Grant R. Osborne</t>
  </si>
  <si>
    <t>Zondervan Exegetical Commentary Series, New Testament</t>
  </si>
  <si>
    <t>BS2585.53 .S77 2014eb</t>
  </si>
  <si>
    <t>NIV Application Commentary Series</t>
  </si>
  <si>
    <t>Man and Woman, One in Christ</t>
  </si>
  <si>
    <t>An Exegetical and Theological Study of Paul's Letters</t>
  </si>
  <si>
    <t>BS2650.52 .P39 2009eb</t>
  </si>
  <si>
    <t>Equality--Biblical teaching.,Sexism--Biblical teaching.</t>
  </si>
  <si>
    <t>Philip Barton Payne</t>
  </si>
  <si>
    <t>Malestrom</t>
  </si>
  <si>
    <t>Manhood Swept Into the Currents of a Changing World</t>
  </si>
  <si>
    <t>BV4528.2 .J355 2015eb</t>
  </si>
  <si>
    <t>Christian men--Religious life.</t>
  </si>
  <si>
    <t>Making Vision Stick</t>
  </si>
  <si>
    <t>Leadership Library</t>
  </si>
  <si>
    <t>Making Sense of Who God Is</t>
  </si>
  <si>
    <t>One of Seven Parts From Grudem's Systematic Theology</t>
  </si>
  <si>
    <t>Angels.,Devil.,God (Christianity),God--Attributes.,Prayer.,Religion.,Theology, Doctrinal.</t>
  </si>
  <si>
    <t>Grudem's Systematic Theology</t>
  </si>
  <si>
    <t>Making Sense of the Future</t>
  </si>
  <si>
    <t>Making Sense of the Church</t>
  </si>
  <si>
    <t>Church.,Religion.</t>
  </si>
  <si>
    <t>Making Sense of the Bible</t>
  </si>
  <si>
    <t>Making Sense of Salvation</t>
  </si>
  <si>
    <t>BT751.3</t>
  </si>
  <si>
    <t>Religion.,Salvation--Christianity.</t>
  </si>
  <si>
    <t>Making Sense of Man and Sin</t>
  </si>
  <si>
    <t>Making Sense of Christ and the Spirit</t>
  </si>
  <si>
    <t>Major Bible Themes</t>
  </si>
  <si>
    <t>Lewis Sperry Chafer-John F. Walvoord</t>
  </si>
  <si>
    <t>Major Bible Prophecies</t>
  </si>
  <si>
    <t>37 Crucial Prophecies That Affect You Today</t>
  </si>
  <si>
    <t>BS647.2 .W28 1991</t>
  </si>
  <si>
    <t>Walter L. Liefeld-David W. Pao</t>
  </si>
  <si>
    <t>BS2595.53 .G37 2011</t>
  </si>
  <si>
    <t>Zondervan Exegetical Commentary Series on the New Testament</t>
  </si>
  <si>
    <t>BS2595.3 .B57 2009eb</t>
  </si>
  <si>
    <t>The NIV Application Commentary Series</t>
  </si>
  <si>
    <t>Luis De Molina</t>
  </si>
  <si>
    <t>The Life and Theology of the Founder of Middle Knowledge</t>
  </si>
  <si>
    <t>BX4705.M598</t>
  </si>
  <si>
    <t>God (Christianity)--Omniscience.,Molinism.</t>
  </si>
  <si>
    <t>Locating Atonement</t>
  </si>
  <si>
    <t>Atonement--Congresses.</t>
  </si>
  <si>
    <t>Life's Ultimate Questions</t>
  </si>
  <si>
    <t>An Introduction to Philosophy</t>
  </si>
  <si>
    <t>BR100 .N27 2010eb</t>
  </si>
  <si>
    <t>Christianity--Introductions.,Christianity--Philosophy.</t>
  </si>
  <si>
    <t>Leviticus, Numbers</t>
  </si>
  <si>
    <t>BS1255.53 .G36 2004eb</t>
  </si>
  <si>
    <t>Roy Gane</t>
  </si>
  <si>
    <t>Let's Start with Jesus</t>
  </si>
  <si>
    <t>A New Way of Doing Theology</t>
  </si>
  <si>
    <t>Lectures to My Students</t>
  </si>
  <si>
    <t>Leadership From the Inside Out</t>
  </si>
  <si>
    <t>Examining the Inner Life of a Healthy Church Leader</t>
  </si>
  <si>
    <t>Know the Heretics</t>
  </si>
  <si>
    <t>BT1315.3</t>
  </si>
  <si>
    <t>Christian heresies.,Christian heretics.</t>
  </si>
  <si>
    <t>Justin S. Holcomb</t>
  </si>
  <si>
    <t>The Know Series</t>
  </si>
  <si>
    <t>Know the Creeds and Councils</t>
  </si>
  <si>
    <t>BT990</t>
  </si>
  <si>
    <t>Councils and synods, Ecumenical.,Creeds, Ecumenical.</t>
  </si>
  <si>
    <t>Keep Your Greek</t>
  </si>
  <si>
    <t>Strategies for Busy People</t>
  </si>
  <si>
    <t>PA810</t>
  </si>
  <si>
    <t>Greek language, Biblical.</t>
  </si>
  <si>
    <t>Journeys of Faith</t>
  </si>
  <si>
    <t>Evangelicalism, Eastern Orthodoxy, Catholicism and Anglicanism</t>
  </si>
  <si>
    <t>RELIGION / Christianity / Denominations</t>
  </si>
  <si>
    <t>Anglican converts--United States.,Catholic converts--United States.,Ex-church members--Protestant churches--Religious life.,Orthodox Eastern converts--United States.</t>
  </si>
  <si>
    <t>BS1295.53 .H83 2009eb</t>
  </si>
  <si>
    <t>Robert L. Hubbard, Jr.</t>
  </si>
  <si>
    <t>Jonah, Nahum, Habakkuk, Zephaniah</t>
  </si>
  <si>
    <t>BS1605.53 .B78 2009eb</t>
  </si>
  <si>
    <t>James Bruckner</t>
  </si>
  <si>
    <t>Arnold, Clinton E.</t>
  </si>
  <si>
    <t>John Wesley's Teachings, Volume 4</t>
  </si>
  <si>
    <t>Ethics and Society</t>
  </si>
  <si>
    <t>BX8495.W5</t>
  </si>
  <si>
    <t>Christian ethics--History--18th century.,Christian ethics--Methodist authors.,Christian sociology--History--18th century.,Christian sociology--Methodist Church.,Methodist Church--Doctrines.,Methodist Church--Doctrines--History--18th century.</t>
  </si>
  <si>
    <t>Thomas C. Oden</t>
  </si>
  <si>
    <t>John Wesley's Teachings</t>
  </si>
  <si>
    <t>John Wesley's Teachings, Volume 3</t>
  </si>
  <si>
    <t>Pastoral Theology</t>
  </si>
  <si>
    <t>BX8331.3 .O35 2012</t>
  </si>
  <si>
    <t>Methodist Church--Doctrines.,Methodist Church--Doctrines--History--18th century.,Theology, Doctrinal.,Theology, Doctrinal--History--18th century.</t>
  </si>
  <si>
    <t>John Wesley's Teachings, Volume 2</t>
  </si>
  <si>
    <t>Christ and Salvation</t>
  </si>
  <si>
    <t>BX8331.3 .O35 2012eb</t>
  </si>
  <si>
    <t>Methodist Church--Doctrines.,Methodist Church--Doctrines--History--18th century.,Religion.,Theology, Doctrinal.,Theology, Doctrinal--History--18th century.</t>
  </si>
  <si>
    <t>John Wesley's Teachings, Volume 1</t>
  </si>
  <si>
    <t>God and Providence</t>
  </si>
  <si>
    <t>BS2615.3 .B79 2009eb</t>
  </si>
  <si>
    <t>BS1415.53 .W35 2012eb</t>
  </si>
  <si>
    <t>Jesus, the Middle Eastern Storyteller</t>
  </si>
  <si>
    <t>Jesus, Justice, and Gender Roles</t>
  </si>
  <si>
    <t>A Case for Gender Roles in Ministry</t>
  </si>
  <si>
    <t>BV4415 .K46 2012eb</t>
  </si>
  <si>
    <t>Sex role--Biblical teaching.,Sex role--Religious aspects--Christianity.,Women in church work.,Women in church work--Biblical teaching.</t>
  </si>
  <si>
    <t>Kathy Keller</t>
  </si>
  <si>
    <t>Jesus, A Visual History</t>
  </si>
  <si>
    <t>The Dramatic Story of the Messiah in the Holy Land</t>
  </si>
  <si>
    <t>Donald L. Brake-Todd Bolen</t>
  </si>
  <si>
    <t>Jesus Under Fire</t>
  </si>
  <si>
    <t>Modern Scholarship Reinvents the Historical Jesus</t>
  </si>
  <si>
    <t>BT198</t>
  </si>
  <si>
    <t>Jesus and the Jewish Festivals</t>
  </si>
  <si>
    <t>BT205</t>
  </si>
  <si>
    <t>Fasts and feasts in the Bible.,Fasts and feasts--Judaism.,Religion.</t>
  </si>
  <si>
    <t>Jesus and the Father</t>
  </si>
  <si>
    <t>Modern Evangelicals Reinvent the Doctrine of the Trinity</t>
  </si>
  <si>
    <t>BT111.3 .G45 2006eb</t>
  </si>
  <si>
    <t>Evangelicalism.,Trinity--History of doctrines.</t>
  </si>
  <si>
    <t>Kevin N. Giles</t>
  </si>
  <si>
    <t>J. Andrew Dearman</t>
  </si>
  <si>
    <t>David P. Nystrom</t>
  </si>
  <si>
    <t>BS2785.53</t>
  </si>
  <si>
    <t>Craig L. Blomberg-Mariam J. Kovalishyn</t>
  </si>
  <si>
    <t>BS1515.53 .O88 2010eb</t>
  </si>
  <si>
    <t>Is There a Meaning in This Text?</t>
  </si>
  <si>
    <t>The Bible, the Reader, and the Morality of Literary Knowledge</t>
  </si>
  <si>
    <t>Kevin J. Vanhoozer</t>
  </si>
  <si>
    <t>Is There a Doctor in the House?</t>
  </si>
  <si>
    <t>An Insiderâ€™s Story and Advice on Becoming a Bible Scholar</t>
  </si>
  <si>
    <t>Theology--Study and teaching.</t>
  </si>
  <si>
    <t>Ben Witherington III</t>
  </si>
  <si>
    <t>Is Jesus the Only Savior?</t>
  </si>
  <si>
    <t>BT759 .N37 2010eb</t>
  </si>
  <si>
    <t>Religious pluralism.,Salvation outside the church.</t>
  </si>
  <si>
    <t>Is Hell for Real or Does Everyone Go To Heaven?</t>
  </si>
  <si>
    <t>With Contributions by Timothy Keller, R. Albert Mohler Jr., J. I. Packer, and Robert Yarbrough. General Editors Christopher W. Morgan and Robert A. Peterson.</t>
  </si>
  <si>
    <t>BT836.3</t>
  </si>
  <si>
    <t>Hell--Biblical teaching.,Hell--Christianity.</t>
  </si>
  <si>
    <t>Introduction to Messianic Judaism</t>
  </si>
  <si>
    <t>Its Ecclesial Context and Biblical Foundations</t>
  </si>
  <si>
    <t>RELIGION / Messianic Judaism</t>
  </si>
  <si>
    <t>BR158</t>
  </si>
  <si>
    <t>Messianic Judaism.</t>
  </si>
  <si>
    <t>Interpreting the Prophetic Word</t>
  </si>
  <si>
    <t>An Introduction to the Prophetic Literature of the Old Testament</t>
  </si>
  <si>
    <t>BS1505.2 .V336 1996eb</t>
  </si>
  <si>
    <t>Intellectuals Don't Need God and Other Modern Myths</t>
  </si>
  <si>
    <t>Building Bridges to Faith Through Apologetics</t>
  </si>
  <si>
    <t>BT1102 .B428 2010eb</t>
  </si>
  <si>
    <t>Integrative Theology</t>
  </si>
  <si>
    <t>BT75.2 .L475 2010eb</t>
  </si>
  <si>
    <t>Theology, Doctrinal.,Theology--Methodology.</t>
  </si>
  <si>
    <t>Gordon R. Lewis-Bruce A. Demarest</t>
  </si>
  <si>
    <t>Inside the Mind of Unchurched Harry and Mary</t>
  </si>
  <si>
    <t>How to Reach Friends and Family Who Avoid God and the Church</t>
  </si>
  <si>
    <t>Evangelistic work.,Irreligion.</t>
  </si>
  <si>
    <t>Innovation's Dirty Little Secret</t>
  </si>
  <si>
    <t>Why Serial Innovators Succeed Where Others Fail</t>
  </si>
  <si>
    <t>Incredible Mysteries of the Bible</t>
  </si>
  <si>
    <t>A Visual Exploration</t>
  </si>
  <si>
    <t>I Wish Jesus Hadn't Said That</t>
  </si>
  <si>
    <t>Finding Joy in the Inconvenience of Discipleship</t>
  </si>
  <si>
    <t>Steve Timmis</t>
  </si>
  <si>
    <t>I (Still) Believe</t>
  </si>
  <si>
    <t>Leading Bible Scholars Share Their Stories of Faith and Scholarship</t>
  </si>
  <si>
    <t>BS501.A1</t>
  </si>
  <si>
    <t>Biblical scholars.,Christian biography.</t>
  </si>
  <si>
    <t>Zondervan-John Byron-Joel N. Lohr</t>
  </si>
  <si>
    <t>Humilitas</t>
  </si>
  <si>
    <t>A Lost Key to Life, Love, and Leadership</t>
  </si>
  <si>
    <t>BV4647.H8</t>
  </si>
  <si>
    <t>Humility--Religious aspects--Christianity.</t>
  </si>
  <si>
    <t>How to Read the Bible Through the Jesus Lens</t>
  </si>
  <si>
    <t>A Guide to Christ-Focused Reading of Scripture</t>
  </si>
  <si>
    <t>Michael Williams</t>
  </si>
  <si>
    <t>How to Help People Change</t>
  </si>
  <si>
    <t>The Four-Step Biblical Process</t>
  </si>
  <si>
    <t>BV4012.2 .A3235 2010eb</t>
  </si>
  <si>
    <t>Change--Religious aspects--Christianity.,Christian life.,Counseling.,Pastoral counseling.</t>
  </si>
  <si>
    <t>How to Choose a Translation for All Its Worth</t>
  </si>
  <si>
    <t>A Guide to Understanding and Using Bible Versions</t>
  </si>
  <si>
    <t>BS449 .F44 2009eb</t>
  </si>
  <si>
    <t>Gordon D. Fee-Mark L. Strauss</t>
  </si>
  <si>
    <t>How God Became Jesus</t>
  </si>
  <si>
    <t>The Real Origins of Belief in Jesus' Divine Nature---A Response to Bart Ehrman</t>
  </si>
  <si>
    <t>BT216.3</t>
  </si>
  <si>
    <t>Michael F. Bird-Craig A. Evans-Simon Gathercole-Charles E. Hill-Chris Tilling</t>
  </si>
  <si>
    <t>BS1565.53 .S55 2001eb</t>
  </si>
  <si>
    <t>Gary V. Smith</t>
  </si>
  <si>
    <t>Hell Under Fire</t>
  </si>
  <si>
    <t>Modern Scholarship Reinvents Eternal Punishment</t>
  </si>
  <si>
    <t>BT836.3 .H45 2009eb</t>
  </si>
  <si>
    <t>George H. Guthrie-Douglas J. Moo</t>
  </si>
  <si>
    <t>BS2825.3 .J63 2006</t>
  </si>
  <si>
    <t>Alan F. Johnson</t>
  </si>
  <si>
    <t>Bible Study Commentary Series</t>
  </si>
  <si>
    <t>Hearing Her Voice, Revised Edition</t>
  </si>
  <si>
    <t>A Case for Women Giving Sermons</t>
  </si>
  <si>
    <t>Half the Church</t>
  </si>
  <si>
    <t>Recapturing God's Global Vision for Women</t>
  </si>
  <si>
    <t>BV639.W7 J36 2010eb</t>
  </si>
  <si>
    <t>Women and religion.,Women in Christianity.</t>
  </si>
  <si>
    <t>Gospel-Centered Counseling</t>
  </si>
  <si>
    <t>How Christ Changes Lives</t>
  </si>
  <si>
    <t>Counseling--Religious aspects--Christianity.</t>
  </si>
  <si>
    <t>Robert W. Kellemen</t>
  </si>
  <si>
    <t>Equipping Biblical Counselors</t>
  </si>
  <si>
    <t>Gospel Conversations</t>
  </si>
  <si>
    <t>How to Care Like Christ</t>
  </si>
  <si>
    <t>God's Glory Alone---The Majestic Heart of Christian Faith and Life</t>
  </si>
  <si>
    <t>BT180.G6 V36 2015eb</t>
  </si>
  <si>
    <t>Glory of God--Christianity.,Reformation.,Religion.</t>
  </si>
  <si>
    <t>God, Where Are You?</t>
  </si>
  <si>
    <t>Benjamin Kisoni</t>
  </si>
  <si>
    <t>God Under Fire</t>
  </si>
  <si>
    <t>Modern Scholarship Reinvents God</t>
  </si>
  <si>
    <t>BT103.G63 2002</t>
  </si>
  <si>
    <t>God So Loved, He Gave</t>
  </si>
  <si>
    <t>Entering the Movement of Divine Generosity</t>
  </si>
  <si>
    <t>BT140 .K37 2010eb</t>
  </si>
  <si>
    <t>Generosity--Religious aspects--Christianity.,God (Christianity)--Love.</t>
  </si>
  <si>
    <t>God Is a Warrior</t>
  </si>
  <si>
    <t>BS680.W2 L66 2010eb</t>
  </si>
  <si>
    <t>Military history in the Bible.,War--Biblical teaching.</t>
  </si>
  <si>
    <t>Tremper Longman III-Daniel G. Reid</t>
  </si>
  <si>
    <t>Studies in Old Testament Biblical Theology</t>
  </si>
  <si>
    <t>Gloria!</t>
  </si>
  <si>
    <t>Abidemi Sanusi</t>
  </si>
  <si>
    <t>Giving Blood</t>
  </si>
  <si>
    <t>A Fresh Paradigm for Preaching</t>
  </si>
  <si>
    <t>Blood--Miscellanea.,Postmodernism--Religious aspects--Christianity.,Preaching.</t>
  </si>
  <si>
    <t>BS2341.53</t>
  </si>
  <si>
    <t>Genesis: History, Fiction, or Neither?</t>
  </si>
  <si>
    <t>Three Views on the Bibleâ€™s Earliest Chapters</t>
  </si>
  <si>
    <t>James K. Hoffmeier-Gordon John Wenham-Kenton Sparks</t>
  </si>
  <si>
    <t>The NIV Application Commentary. From Biblical Text-- to Contemporary Life</t>
  </si>
  <si>
    <t>Full Gospel, Fractured Minds?</t>
  </si>
  <si>
    <t>A Call to Use God's Gift of the Intellect</t>
  </si>
  <si>
    <t>Rick M. NaÃ±ez</t>
  </si>
  <si>
    <t>From Dependence to Dignity</t>
  </si>
  <si>
    <t>How to Alleviate Poverty Through Church-Centered Microfinance</t>
  </si>
  <si>
    <t>BV639.P6 F55 2015eb</t>
  </si>
  <si>
    <t>Church work with the poor.,Microfinance.,Poverty--Religious aspects--Christianity.</t>
  </si>
  <si>
    <t>Brian Fikkert-Russell Mask</t>
  </si>
  <si>
    <t>From Creation to the Cross</t>
  </si>
  <si>
    <t>Understanding the First Half of the Bible</t>
  </si>
  <si>
    <t>BS1171.2</t>
  </si>
  <si>
    <t>Albert H. Baylis</t>
  </si>
  <si>
    <t>Four Views on the Spectrum of Evangelicalism</t>
  </si>
  <si>
    <t>Atonement.,Evangelicalism.,Evangelicalism--Relations--Catholic Church.,Open theism.</t>
  </si>
  <si>
    <t>Kevin Bauder-R. Albert Mohler, Jr.-John G. Stackhouse, Jr.-Roger E. Olson</t>
  </si>
  <si>
    <t>Four Views on the Role of Works at the Final Judgment</t>
  </si>
  <si>
    <t>BT883 .F68 2013</t>
  </si>
  <si>
    <t>Good works (Theology),Judgment Day.,Merit (Christianity),Reward (Theology)</t>
  </si>
  <si>
    <t>Robert N. Wilkin-Thomas R. Schreiner-James D. G. Dunn-Michael P. Barber</t>
  </si>
  <si>
    <t>Four Views on the Historical Adam</t>
  </si>
  <si>
    <t>BS580.A4</t>
  </si>
  <si>
    <t>Evangelicalism.,Reformed Church--Doctrines.</t>
  </si>
  <si>
    <t>Denis Lamoureux-John H. Walton-C. John Collins-William D. Barrick-Gregory A. Boyd-Philip G. Ryken</t>
  </si>
  <si>
    <t>Four Views on the Apostle Paul</t>
  </si>
  <si>
    <t>Four Views on Salvation in a Pluralistic World</t>
  </si>
  <si>
    <t>BT759 .M67 2010eb</t>
  </si>
  <si>
    <t>Christianity and other religions.,Religious pluralism--Christianity.,Salvation outside the church.</t>
  </si>
  <si>
    <t>Four Views on Moving Beyond the Bible to Theology</t>
  </si>
  <si>
    <t>BS538.3</t>
  </si>
  <si>
    <t>Theology--Methodology.</t>
  </si>
  <si>
    <t>Counterpoints Bible &amp; Theology</t>
  </si>
  <si>
    <t>Four Views on Eternal Security</t>
  </si>
  <si>
    <t>BT752</t>
  </si>
  <si>
    <t>Assurance (Theology),Perseverance (Theology),Salvation--Christianity.</t>
  </si>
  <si>
    <t>Four Views on Divine Providence</t>
  </si>
  <si>
    <t>BT135</t>
  </si>
  <si>
    <t>Providence and government of God--Christianity--Comparative studies.</t>
  </si>
  <si>
    <t>William Lane Craig-Ron Highfield-Gregory A. Boyd-Paul Kjoss Helseth</t>
  </si>
  <si>
    <t>Four Views on Christian Spirituality</t>
  </si>
  <si>
    <t>Bruce A. Demarest</t>
  </si>
  <si>
    <t>Four Views of Youth Ministry and the Church</t>
  </si>
  <si>
    <t>Inclusive Congregational, Preparatory, Missional, Strategic</t>
  </si>
  <si>
    <t>BV4447 .F68 2009eb</t>
  </si>
  <si>
    <t>Wesley Black-Chap Clark-Malan Nel</t>
  </si>
  <si>
    <t>For the Least of These</t>
  </si>
  <si>
    <t>A Biblical Answer to Poverty</t>
  </si>
  <si>
    <t>BV4647.P6 F67 2015eb</t>
  </si>
  <si>
    <t>Church work with the poor.,Economic development--Religious aspects--Christianity.,Poverty--Biblical teaching.,Poverty--Religious aspects--Christianity.,Sustainable development--Religious aspects--Christianity.</t>
  </si>
  <si>
    <t>Zondervan-Anne R. Bradley-Arthur W. Lindsley</t>
  </si>
  <si>
    <t>For Calvinism</t>
  </si>
  <si>
    <t>RELIGION / Christianity / Calvinist</t>
  </si>
  <si>
    <t>BX9422.3 .H67 2011eb</t>
  </si>
  <si>
    <t>Calvinism.,Reformed Church--Doctrines.</t>
  </si>
  <si>
    <t>Following the Master</t>
  </si>
  <si>
    <t>A Biblical Theology of Discipleship</t>
  </si>
  <si>
    <t>BV4501.2 .W532 2010eb</t>
  </si>
  <si>
    <t>Apostles.,Christian life.</t>
  </si>
  <si>
    <t>Following Jesus, the Servant King</t>
  </si>
  <si>
    <t>A Biblical Theology of Covenantal Discipleship</t>
  </si>
  <si>
    <t>Jonathan Lunde</t>
  </si>
  <si>
    <t>Five Views on the Church and Politics</t>
  </si>
  <si>
    <t>Christianity and politics.,Theology, Doctrinal.</t>
  </si>
  <si>
    <t>J. Brian Benestad-Robert Benne-Bruce Fields-Thomas W. Heilke-James K.A. Smith</t>
  </si>
  <si>
    <t>Five Views on Sanctification</t>
  </si>
  <si>
    <t>BT765</t>
  </si>
  <si>
    <t>Sanctification--Christianity.</t>
  </si>
  <si>
    <t>Melvin E. Dieter-Anthony A. Hoekema-Stanley M. Horton-J. Robertson McQuilkin-John F. Walvoord</t>
  </si>
  <si>
    <t>Five Views on Law and Gospel</t>
  </si>
  <si>
    <t>BT79 .L38 2010eb</t>
  </si>
  <si>
    <t>Evangelicalism.,Law and gospel.</t>
  </si>
  <si>
    <t>Greg L. Bahnsen-Walter C. Kaiser, Jr.-Douglas J. Moo-Wayne G. Strickland-Willem A. VanGemeren</t>
  </si>
  <si>
    <t>Five Views on Biblical Inerrancy</t>
  </si>
  <si>
    <t>Five Views on Apologetics</t>
  </si>
  <si>
    <t>BT1102 .F465 2000eb</t>
  </si>
  <si>
    <t>Finding the Lost Images of God</t>
  </si>
  <si>
    <t>God (Christianity),Image of God.</t>
  </si>
  <si>
    <t>Timothy S. Laniak</t>
  </si>
  <si>
    <t>Finally Free</t>
  </si>
  <si>
    <t>Fighting for Purity with the Power of Grace</t>
  </si>
  <si>
    <t>BV4597.6 .L36 2013</t>
  </si>
  <si>
    <t>Grace (Theology),Liberty--Religious aspects--Christianity.,Pornography--Religious aspects--Christianity.</t>
  </si>
  <si>
    <t>A Theology of Sex</t>
  </si>
  <si>
    <t>Sex--Religious aspects--Christianity.</t>
  </si>
  <si>
    <t>Beth Felker Jones</t>
  </si>
  <si>
    <t>Faith Alone---The Doctrine of Justification</t>
  </si>
  <si>
    <t>BT764.3</t>
  </si>
  <si>
    <t>Justification (Christian theology)</t>
  </si>
  <si>
    <t>BS1545.3 .D84 1999</t>
  </si>
  <si>
    <t>Iain M. Duguid</t>
  </si>
  <si>
    <t>Exploring the Story</t>
  </si>
  <si>
    <t>A Reference Companion</t>
  </si>
  <si>
    <t>Adam Barr</t>
  </si>
  <si>
    <t>Peter E. Enns</t>
  </si>
  <si>
    <t>Evaluating the Church Growth Movement</t>
  </si>
  <si>
    <t>5 Views</t>
  </si>
  <si>
    <t>Church growth.</t>
  </si>
  <si>
    <t>BS1375.3 .J63 1999eb</t>
  </si>
  <si>
    <t>BS2695.3 .S66 2009eb</t>
  </si>
  <si>
    <t>Klyne Snodgrass</t>
  </si>
  <si>
    <t>BS2695.53</t>
  </si>
  <si>
    <t>Encyclopedic Dictionary of Cults, Sects, and World Religions</t>
  </si>
  <si>
    <t>BL31</t>
  </si>
  <si>
    <t>Cults--Dictionaries.,Religions--Dictionaries.,Sects--Dictionaries.</t>
  </si>
  <si>
    <t>Larry A. Nichols-George Mather-Alvin J. Schmidt</t>
  </si>
  <si>
    <t>Revised and updated edition</t>
  </si>
  <si>
    <t>Ego Trip</t>
  </si>
  <si>
    <t>Rediscovering Grace in a Culture of Self-Esteem</t>
  </si>
  <si>
    <t>BT761.3 .H55 2014eb</t>
  </si>
  <si>
    <t>Ego (Psychology),Grace (Theology),Self.,Self-esteem.,Self-esteem--Religious aspects--Christianity.</t>
  </si>
  <si>
    <t>Glynn Harrison</t>
  </si>
  <si>
    <t>Effective Biblical Counseling</t>
  </si>
  <si>
    <t>A Model for Helping Caring Christians Become Capable Counselors</t>
  </si>
  <si>
    <t>BR110 .C76 2013eb</t>
  </si>
  <si>
    <t>Counseling--Religious aspects--Christianity.,Pastoral counseling.</t>
  </si>
  <si>
    <t>BS1475.53 .P76 2001eb</t>
  </si>
  <si>
    <t>Iain Provan</t>
  </si>
  <si>
    <t>Don't Stop Believing</t>
  </si>
  <si>
    <t>Why Living Like Jesus Is Not Enough</t>
  </si>
  <si>
    <t>Doing the Right Thing</t>
  </si>
  <si>
    <t>Christian ethics.,Christian life.</t>
  </si>
  <si>
    <t>Dispensationalism, Israel and the Church</t>
  </si>
  <si>
    <t>The Search for Definition</t>
  </si>
  <si>
    <t>Church.,Dispensationalism.,Israel (Christian theology)</t>
  </si>
  <si>
    <t>Craig A. Blaising-Darrell L. Bock</t>
  </si>
  <si>
    <t>Discovering Romans</t>
  </si>
  <si>
    <t>Spiritual Revival for the Soul</t>
  </si>
  <si>
    <t>S. Lewis Johnson-Mike Abendroth</t>
  </si>
  <si>
    <t>DiscipleShift</t>
  </si>
  <si>
    <t>Five Steps That Help Your Church to Make Disciples Who Make Disciples</t>
  </si>
  <si>
    <t>BV4520 .P875 2013eb</t>
  </si>
  <si>
    <t>Jim Putman-Bobby Harrington-Robert Coleman</t>
  </si>
  <si>
    <t>Different Eyes</t>
  </si>
  <si>
    <t>The Art of Living Beautifully</t>
  </si>
  <si>
    <t>Steve Chalke-Alan Mann</t>
  </si>
  <si>
    <t>Dictionary of Biblical Prophecy and End Times</t>
  </si>
  <si>
    <t>BS647.3</t>
  </si>
  <si>
    <t>J. Daniel Hays-J. Scott Duvall-C. Marvin Pate</t>
  </si>
  <si>
    <t>BS1275.53 .B56 2012eb</t>
  </si>
  <si>
    <t>Daniel I. Block</t>
  </si>
  <si>
    <t>BV4647.H67 S73 2012eb</t>
  </si>
  <si>
    <t>Daughters of the Church</t>
  </si>
  <si>
    <t>Women and Ministry From New Testament Times to the Present</t>
  </si>
  <si>
    <t>BV639.W7</t>
  </si>
  <si>
    <t>Women clergy--History.,Women in Christianity--History.,Women in church work--History.</t>
  </si>
  <si>
    <t>Ruth A. Tucker-Walter L. Liefeld</t>
  </si>
  <si>
    <t>Dare Mighty Things</t>
  </si>
  <si>
    <t>Mapping the Challenges of Leadership for Christian Women</t>
  </si>
  <si>
    <t>Christian leadership.,Christian women--Religious life.,Leadership in women.,Leadership--Religious aspects--Christianity.,Women in church work.</t>
  </si>
  <si>
    <t>Halee Gray Scott</t>
  </si>
  <si>
    <t>Jonah, Nahum, Habukkuk, Zephaniah</t>
  </si>
  <si>
    <t>John H. Walton-Carl E. Armerding-Larry L. Walker</t>
  </si>
  <si>
    <t>Covenant</t>
  </si>
  <si>
    <t>God's Purpose, God's Plan</t>
  </si>
  <si>
    <t>BT155</t>
  </si>
  <si>
    <t>Counseling for Seemingly Impossible Problems</t>
  </si>
  <si>
    <t>A Biblical Perspective</t>
  </si>
  <si>
    <t>BV4468.2.A34 C68 2002eb</t>
  </si>
  <si>
    <t>African Americans--Pastoral counseling of.</t>
  </si>
  <si>
    <t>Competent to Counsel</t>
  </si>
  <si>
    <t>Introduction to Nouthetic Counseling</t>
  </si>
  <si>
    <t>Pastoral counseling.</t>
  </si>
  <si>
    <t>Cities of Tomorrow and the City to Come</t>
  </si>
  <si>
    <t>A Theology of Urban Life</t>
  </si>
  <si>
    <t>BR115.C45</t>
  </si>
  <si>
    <t>Cities and towns--Religious aspects--Christianity.</t>
  </si>
  <si>
    <t>Noah J. Toly</t>
  </si>
  <si>
    <t>Church and the Tribulation</t>
  </si>
  <si>
    <t>A Biblical Examination of Posttribulationism</t>
  </si>
  <si>
    <t>BT821.2 .G86</t>
  </si>
  <si>
    <t>Eschatology.</t>
  </si>
  <si>
    <t>Chronological Aspects of the Life of Christ</t>
  </si>
  <si>
    <t>BT303 .H58 2010eb</t>
  </si>
  <si>
    <t>Harold W. Hoehner</t>
  </si>
  <si>
    <t>[EPub ed.]</t>
  </si>
  <si>
    <t>Christology, Ancient and Modern</t>
  </si>
  <si>
    <t>Oliver D. Crisp-George Hunsinger-Peter J. Leithart-Katherine Sonderegger-Alan J. Torrance</t>
  </si>
  <si>
    <t>Christians in an Age of Wealth</t>
  </si>
  <si>
    <t>A Biblical Theology of Stewardship</t>
  </si>
  <si>
    <t>BR115.W4</t>
  </si>
  <si>
    <t>Christian stewardship.,Wealth--Religious aspects--Christianity.</t>
  </si>
  <si>
    <t>Craig L. Blomberg</t>
  </si>
  <si>
    <t>Christianity Through the Centuries</t>
  </si>
  <si>
    <t>A History of the Christian Church</t>
  </si>
  <si>
    <t>Earle E. Cairns</t>
  </si>
  <si>
    <t>Third edition, revised and expanded</t>
  </si>
  <si>
    <t>Christian Apologetics</t>
  </si>
  <si>
    <t>An Anthology of Primary Sources</t>
  </si>
  <si>
    <t>Apologetics--History--Sources.</t>
  </si>
  <si>
    <t>Zondervan-Chad V. Meister-Khaldoun A. Sweis</t>
  </si>
  <si>
    <t>Christ-Centered Therapy</t>
  </si>
  <si>
    <t>The Practical Integration of Theology and Psychology</t>
  </si>
  <si>
    <t>Counseling--Religious aspects--Christianity.,Psychotherapy--Religious aspects--Christianity.</t>
  </si>
  <si>
    <t>Neil T. Anderson-Terry E. Zuehlke-Julie Zuehlke</t>
  </si>
  <si>
    <t>Character Formation in Online Education</t>
  </si>
  <si>
    <t>A Guide for Instructors, Administrators, and Accrediting Agencies</t>
  </si>
  <si>
    <t>EDUCATION / Distance, Open &amp; Online Education</t>
  </si>
  <si>
    <t>LB1044.87</t>
  </si>
  <si>
    <t>Distance education.,Personality development.,Web-based instruction.</t>
  </si>
  <si>
    <t>Canon and Biblical Interpretation</t>
  </si>
  <si>
    <t>Zondervan-Craig Bartholomew-Scott Hahn-Robin Parry-Christopher Seitz-Al Wolters</t>
  </si>
  <si>
    <t>The Scripture and Hermeneutics Series</t>
  </si>
  <si>
    <t>Bringing Jesus to the Desert</t>
  </si>
  <si>
    <t>BR67</t>
  </si>
  <si>
    <t>Brad Nassif</t>
  </si>
  <si>
    <t>Bourgeois Babes, Bossy Wives, and Bobby Haircuts</t>
  </si>
  <si>
    <t>A Case for Gender Equality in Ministry</t>
  </si>
  <si>
    <t>BV676 .B57 2012</t>
  </si>
  <si>
    <t>Sex discrimination.,Women clergy.,Women in church work.,Women's rights--Religious aspects--Christianity.</t>
  </si>
  <si>
    <t>Fresh Perspectives on Women in Ministry</t>
  </si>
  <si>
    <t>Bound Together</t>
  </si>
  <si>
    <t>How We Are Tied to Others in Good and Bad Choices</t>
  </si>
  <si>
    <t>Chris Brauns</t>
  </si>
  <si>
    <t>Biblical Words and Their Meaning</t>
  </si>
  <si>
    <t>An Introduction to Lexical Semantics</t>
  </si>
  <si>
    <t>Biblical Prophecy</t>
  </si>
  <si>
    <t>BS647.2</t>
  </si>
  <si>
    <t>Biblical Counseling and the Church</t>
  </si>
  <si>
    <t>God's Care Through God's People</t>
  </si>
  <si>
    <t>Bob Kellemen-Kevin Carson</t>
  </si>
  <si>
    <t>Biblical Archaeology</t>
  </si>
  <si>
    <t>'Behind' the Text: History and Biblical Interpretation</t>
  </si>
  <si>
    <t>BS635.3 .B44 2011eb</t>
  </si>
  <si>
    <t>Zondervan-Craig Bartholomew-C. Stephen Evans-Mary Healy-Murray Rae-Robin Parry</t>
  </si>
  <si>
    <t>Becoming Worldly Saints</t>
  </si>
  <si>
    <t>Can You Serve Jesus and Still Enjoy Your Life?</t>
  </si>
  <si>
    <t>BV4647.J68</t>
  </si>
  <si>
    <t>Christian life.,Joy--Religious aspects--Christianity.,Pleasure--Religious aspects--Christianity.,Salvation--Biblical teaching.,Salvation--Christianity.</t>
  </si>
  <si>
    <t>Baxter's Explore the Book</t>
  </si>
  <si>
    <t>RELIGION / Biblical Commentary / Old Testament / Apocrypha &amp; Deuterocanonical</t>
  </si>
  <si>
    <t>Basics of Verbal Aspect in Biblical Greek</t>
  </si>
  <si>
    <t>PA847.C35 2008</t>
  </si>
  <si>
    <t>Greek language, Biblical--Aspect.,Greek language, Biblical--Verb.</t>
  </si>
  <si>
    <t>Baptized in the Spirit</t>
  </si>
  <si>
    <t>A Global Pentecostal Theology</t>
  </si>
  <si>
    <t>Frank D. Macchia</t>
  </si>
  <si>
    <t>Awakening the Evangelical Mind</t>
  </si>
  <si>
    <t>An Intellectual History of the Neo-Evangelical Movement</t>
  </si>
  <si>
    <t>BR1642.U5</t>
  </si>
  <si>
    <t>Evangelicalism--United States.</t>
  </si>
  <si>
    <t>Are Miraculous Gifts for Today?</t>
  </si>
  <si>
    <t>4 Views</t>
  </si>
  <si>
    <t>Gifts, Spiritual.,Miracles.</t>
  </si>
  <si>
    <t>Zondervan-Wayne A. Grudem</t>
  </si>
  <si>
    <t>An Uncommon Union</t>
  </si>
  <si>
    <t>Dallas Theological Seminary and American Evangelicalism</t>
  </si>
  <si>
    <t>BV4070.D246</t>
  </si>
  <si>
    <t>Evangelicalism--United States--History.</t>
  </si>
  <si>
    <t>John D. Hannah</t>
  </si>
  <si>
    <t>An Interpretive Lexicon of New Testament Greek</t>
  </si>
  <si>
    <t>Analysis of Prepositions, Adverbs, Particles, Relative Pronouns, and Conjunctions</t>
  </si>
  <si>
    <t>Greek language, Biblical--Grammar.,Greek language--Grammar.</t>
  </si>
  <si>
    <t>Gregory K. Beale-Daniel Joseph Brendsel-William A. Ross</t>
  </si>
  <si>
    <t>Amazing Discoveries That Unlock the Bible</t>
  </si>
  <si>
    <t>A Visual Experience</t>
  </si>
  <si>
    <t>Against Calvinism</t>
  </si>
  <si>
    <t>Rescuing God's Reputation From Radical Reformed Theology</t>
  </si>
  <si>
    <t>BX9424.3</t>
  </si>
  <si>
    <t>Calvinism.</t>
  </si>
  <si>
    <t>Hippo</t>
  </si>
  <si>
    <t>Africa Bible Commentary</t>
  </si>
  <si>
    <t>A One-Volume Commentary Written by 70 African Scholars</t>
  </si>
  <si>
    <t>BS491.3 .A47 2006</t>
  </si>
  <si>
    <t>Theology--Africa.</t>
  </si>
  <si>
    <t>Advancing Trinitarian Theology</t>
  </si>
  <si>
    <t>Trinity--History of doctrines--21st century--Congresses.</t>
  </si>
  <si>
    <t>Advances in the Study of Greek</t>
  </si>
  <si>
    <t>New Insights for Reading the New Testament</t>
  </si>
  <si>
    <t>PA851</t>
  </si>
  <si>
    <t>Greek language, Biblical.,Greek language, Biblical--Syntax.</t>
  </si>
  <si>
    <t>A Wilderness of Mirrors</t>
  </si>
  <si>
    <t>Trusting Again in a Cynical World</t>
  </si>
  <si>
    <t>Mark Meynell</t>
  </si>
  <si>
    <t>A Theology of Mark's Gospel</t>
  </si>
  <si>
    <t>Good News About Jesus the Messiah, the Son of God</t>
  </si>
  <si>
    <t>A Theology of Luke and Acts</t>
  </si>
  <si>
    <t>Godâ€™s Promised Program, Realized for All Nations</t>
  </si>
  <si>
    <t>A Theology of John's Gospel and Letters</t>
  </si>
  <si>
    <t>The Word, the Christ, the Son of God</t>
  </si>
  <si>
    <t>Andreas J. Kostenberger</t>
  </si>
  <si>
    <t>A Theology of James, Peter, and Jude</t>
  </si>
  <si>
    <t>Living in the Light of the Coming King</t>
  </si>
  <si>
    <t>Peter H. Davids</t>
  </si>
  <si>
    <t>A Theology of Christian Counseling</t>
  </si>
  <si>
    <t>More Than Redemption</t>
  </si>
  <si>
    <t>EPub Edition</t>
  </si>
  <si>
    <t>A Shorter Life of Christ</t>
  </si>
  <si>
    <t>BT301.2 .G88 2010eb</t>
  </si>
  <si>
    <t>Donald Guthrie</t>
  </si>
  <si>
    <t>A Place for Weakness</t>
  </si>
  <si>
    <t>Preparing Yourself for Suffering</t>
  </si>
  <si>
    <t>A God-Sized Vision</t>
  </si>
  <si>
    <t>Revival Stories That Stretch and Stir</t>
  </si>
  <si>
    <t>Collin Hansen-John D. Woodbridge</t>
  </si>
  <si>
    <t>A General Introduction to the Bible</t>
  </si>
  <si>
    <t>From Ancient Tablets to Modern Translations</t>
  </si>
  <si>
    <t>BS465.E84 1990</t>
  </si>
  <si>
    <t>David Ewert</t>
  </si>
  <si>
    <t>A Doubter's Guide to the Bible</t>
  </si>
  <si>
    <t>Inside Historyâ€™s Bestseller for Believers and Skeptics</t>
  </si>
  <si>
    <t>BS475.3 .D53 2015eb</t>
  </si>
  <si>
    <t>A Brief History of Old Testament Criticism</t>
  </si>
  <si>
    <t>From Benedict Spinoza to Brevard Childs</t>
  </si>
  <si>
    <t>BS1160</t>
  </si>
  <si>
    <t>Mark S. Gignilliat</t>
  </si>
  <si>
    <t>2 Peter, Jude</t>
  </si>
  <si>
    <t>BS2795.3</t>
  </si>
  <si>
    <t>2 Corinthians, Volume 40</t>
  </si>
  <si>
    <t>BS2675.53 .M37 2014eb</t>
  </si>
  <si>
    <t>BS2675.3</t>
  </si>
  <si>
    <t>Scott J. Hafemann</t>
  </si>
  <si>
    <t>1002 Humorous Illustrations for Public Speaking</t>
  </si>
  <si>
    <t>Fresh, Timely, Compelling Illustrations for Preachers, Teachers, and Speakers</t>
  </si>
  <si>
    <t>Michael Hodgin</t>
  </si>
  <si>
    <t>1001 Quotations That Connect</t>
  </si>
  <si>
    <t>Timeless Wisdom for Preaching, Teaching, and Writing</t>
  </si>
  <si>
    <t>1001 More Humorous Illustrations for Public Speaking</t>
  </si>
  <si>
    <t>Fresh, Timely, and Compelling Illustrations for Preachers, Teachers, and Speakers</t>
  </si>
  <si>
    <t>1001 Humorous Illustrations for Public Speaking</t>
  </si>
  <si>
    <t>1 and 2 Timothy, Titus</t>
  </si>
  <si>
    <t>BS2735.3</t>
  </si>
  <si>
    <t>Walter L. Liefeld</t>
  </si>
  <si>
    <t>BS2725.53</t>
  </si>
  <si>
    <t>BS2725.3 .H64 1998eb</t>
  </si>
  <si>
    <t>Michael W. Holmes</t>
  </si>
  <si>
    <t>BS2725.53 .B97 2014eb</t>
  </si>
  <si>
    <t>John Byron</t>
  </si>
  <si>
    <t>Bill T. Arnold</t>
  </si>
  <si>
    <t>BS1335.53 .K66 2009eb</t>
  </si>
  <si>
    <t>August H. Konkel</t>
  </si>
  <si>
    <t>BS1345.52 .H55 2009eb</t>
  </si>
  <si>
    <t>Stuart Briscoe</t>
  </si>
  <si>
    <t>Your First Two Years in Youth Ministry</t>
  </si>
  <si>
    <t>A Personal and Practical Guide to Starting Right</t>
  </si>
  <si>
    <t>Words Kids Need to Hear</t>
  </si>
  <si>
    <t>To Help Them Be Who God Made Them to Be</t>
  </si>
  <si>
    <t>Christian children--Religious life.,Parent and child--Religious aspects--Christianity.</t>
  </si>
  <si>
    <t>Who Runs the Church?</t>
  </si>
  <si>
    <t>4 Views on Church Government</t>
  </si>
  <si>
    <t>BV647.3 .W48 2009eb</t>
  </si>
  <si>
    <t>Church polity.,Protestant churches--Government.</t>
  </si>
  <si>
    <t>AER edition</t>
  </si>
  <si>
    <t>Walking the Small Group Tightrope</t>
  </si>
  <si>
    <t>Meeting the Challenges Every Group Faces</t>
  </si>
  <si>
    <t>BV652.2 .D659 2003eb</t>
  </si>
  <si>
    <t>Understanding Four Views on the Lord's Supper</t>
  </si>
  <si>
    <t>Lord's Supper.</t>
  </si>
  <si>
    <t>The Unchurched Next Door</t>
  </si>
  <si>
    <t>Understanding Faith Stages As Keys to Sharing Your Faith</t>
  </si>
  <si>
    <t>BV4921.3 .R35 2003eb</t>
  </si>
  <si>
    <t>Evangelistic work.,Non-church-affiliated people.</t>
  </si>
  <si>
    <t>They Like Jesus but Not the Church</t>
  </si>
  <si>
    <t>Insights From Emerging Generations</t>
  </si>
  <si>
    <t>Church renewal.,Church work with young adults.,Emerging church movement.,Non-church-affiliated people.,Postmodernism--Religious aspects--Christianity.,Young adults--Religious life.</t>
  </si>
  <si>
    <t>Theology in the Context of World Christianity</t>
  </si>
  <si>
    <t>How the Global Church Is Influencing the Way We Think About and Discuss Theology</t>
  </si>
  <si>
    <t>BR118 .T44 2007eb</t>
  </si>
  <si>
    <t>Globalization--Religious aspects--Christianity.,Theology--Methodology.</t>
  </si>
  <si>
    <t>Tactics</t>
  </si>
  <si>
    <t>Sense and Nonsense About Heaven and Hell</t>
  </si>
  <si>
    <t>Future life.,Heaven.,Hell.</t>
  </si>
  <si>
    <t>Kenneth D. Boa-Robert M. Bowman Jr.</t>
  </si>
  <si>
    <t>Sense and Nonsense About Angels and Demons</t>
  </si>
  <si>
    <t>BT966.3 .B63 2007eb</t>
  </si>
  <si>
    <t>Angels.,Demonology.</t>
  </si>
  <si>
    <t>Questions to All Your Answers</t>
  </si>
  <si>
    <t>The Journey From Folk Religion to Examined Faith</t>
  </si>
  <si>
    <t>No Perfect People Allowed</t>
  </si>
  <si>
    <t>Creating a Come-as-You-Are Culture in the Church</t>
  </si>
  <si>
    <t>BV4011.3 .B87 2005eb</t>
  </si>
  <si>
    <t>Church group work.,Church work.,Pastoral theology.,Postmodernism--Religious aspects--Christianity.</t>
  </si>
  <si>
    <t>The Multiplying Church</t>
  </si>
  <si>
    <t>The New Math for Starting New Churches</t>
  </si>
  <si>
    <t>BV652.24 .R58 2009eb</t>
  </si>
  <si>
    <t>The Monkey and the Fish</t>
  </si>
  <si>
    <t>Liquid Leadership for a Third-Culture Church</t>
  </si>
  <si>
    <t>Christianity--21st century.,Church.,Globalization--Religious aspects--Christianity.</t>
  </si>
  <si>
    <t>A Little Guide to Christian Spirituality</t>
  </si>
  <si>
    <t>Three Dimensions of Life with God</t>
  </si>
  <si>
    <t>BV4501.3 .S39 2009eb</t>
  </si>
  <si>
    <t>Spiritual life--Christianity.,Spirituality.</t>
  </si>
  <si>
    <t>Glen G. Scorgie</t>
  </si>
  <si>
    <t>AER ed</t>
  </si>
  <si>
    <t>Listening to the Beliefs of Emerging Churches</t>
  </si>
  <si>
    <t>Five Perspectives</t>
  </si>
  <si>
    <t>BR115.P74 L57 2009eb</t>
  </si>
  <si>
    <t>Christianity--Forecasting.,Church renewal.,Non-institutional churches.,Postmodernism--Religious aspects--Christianity.</t>
  </si>
  <si>
    <t>BS1575.53</t>
  </si>
  <si>
    <t>David W. Baker</t>
  </si>
  <si>
    <t>Is the Father of Jesus the God of Muhammad?</t>
  </si>
  <si>
    <t>Understanding the Differences Between Christianity and Islam</t>
  </si>
  <si>
    <t>BT103 .G46 2009eb</t>
  </si>
  <si>
    <t>Christianity and other religions--Islam.,God (Christianity),Islam--Relations--Christianity.</t>
  </si>
  <si>
    <t>Timothy George</t>
  </si>
  <si>
    <t>An Introduction to the Old Testament</t>
  </si>
  <si>
    <t>BS1140.3 .L66 2009eb</t>
  </si>
  <si>
    <t>2nd ed. ; AER ed</t>
  </si>
  <si>
    <t>An Introduction to the New Testament</t>
  </si>
  <si>
    <t>BS2330.3 .C37 2009eb</t>
  </si>
  <si>
    <t>Introduction to Christian Education and Formation</t>
  </si>
  <si>
    <t>A Lifelong Plan for Christ-Centered Restoration</t>
  </si>
  <si>
    <t>BV1471.3</t>
  </si>
  <si>
    <t>Christian education.,Spiritual formation.</t>
  </si>
  <si>
    <t>Ronald T. Habermas</t>
  </si>
  <si>
    <t>Incarnate Leadership</t>
  </si>
  <si>
    <t>5 Leadership Lessons From the Life of Jesus</t>
  </si>
  <si>
    <t>Bill Robinson</t>
  </si>
  <si>
    <t>How to Be Evangelical Without Being Conservative</t>
  </si>
  <si>
    <t>BR1640 .O47 2009eb</t>
  </si>
  <si>
    <t>Christian conservatism.,Conservatism.,Evangelicalism.</t>
  </si>
  <si>
    <t>Hope and Healing for Kids Who Cut</t>
  </si>
  <si>
    <t>Learning to Understand and Help Those Who Self-Injure</t>
  </si>
  <si>
    <t>RJ506.S44 P37 2009eb</t>
  </si>
  <si>
    <t>Adolescent psychology.,Church work with teenagers.,Self-mutilation in adolescence.</t>
  </si>
  <si>
    <t>BS1655.53 .B63 2004eb</t>
  </si>
  <si>
    <t>Mark J. Boda</t>
  </si>
  <si>
    <t>What Is Authentic Faith?</t>
  </si>
  <si>
    <t>BT203 .M25 2009eb</t>
  </si>
  <si>
    <t>Rev. &amp; expanded anniversary ed. ; AER ed</t>
  </si>
  <si>
    <t>The God I Don't Understand</t>
  </si>
  <si>
    <t>Reflections on Tough Questions of Faith</t>
  </si>
  <si>
    <t>BT732.7 .W75 2008eb</t>
  </si>
  <si>
    <t>Faith.,Good and evil.,Suffering--Religious aspects--Christianity.,Theodicy.</t>
  </si>
  <si>
    <t>BS2685.3</t>
  </si>
  <si>
    <t>Flowing Streams</t>
  </si>
  <si>
    <t>Journeys of a Life Well Lived</t>
  </si>
  <si>
    <t>BX4827.B65</t>
  </si>
  <si>
    <t>Clergy--Wisconsin--Brookfield--Biography.</t>
  </si>
  <si>
    <t>Everything You Want to Know About Jesus</t>
  </si>
  <si>
    <t>Well â€¦ Maybe Not Everything but Enough to Get You Started</t>
  </si>
  <si>
    <t>BT203 .D69 2007eb</t>
  </si>
  <si>
    <t>Effective First-Person Biblical Preaching</t>
  </si>
  <si>
    <t>The Steps From Text to Narrative Sermon</t>
  </si>
  <si>
    <t>BV4235.S76 E39 2005eb</t>
  </si>
  <si>
    <t>Narrative preaching.</t>
  </si>
  <si>
    <t>J. Kent Edwards</t>
  </si>
  <si>
    <t>Downtime</t>
  </si>
  <si>
    <t>Helping Teenagers Pray</t>
  </si>
  <si>
    <t>Christian teenagers--Religious life.,Church work with teenagers.,Prayer--Christianity.,Spiritual life--Christianity.</t>
  </si>
  <si>
    <t>Congratulations â€¦ You're Gifted!</t>
  </si>
  <si>
    <t>Discovering Your God-Given Shape to Make a Difference in the World</t>
  </si>
  <si>
    <t>BV4447 .F535 2008eb</t>
  </si>
  <si>
    <t>Christian teenagers--Conduct of life--Juvenile literature.,Christian teenagers--Religious life--Juvenile literature.,Church work with youth--Juvenile literature.</t>
  </si>
  <si>
    <t>Doug Fields-Erik Rees</t>
  </si>
  <si>
    <t>Confessions of a Reformission Rev.</t>
  </si>
  <si>
    <t>Hard Lessons From an Emerging Missional Church</t>
  </si>
  <si>
    <t>BV3785.D75 A3 2006eb</t>
  </si>
  <si>
    <t>Evangelists--United States--Biography.</t>
  </si>
  <si>
    <t>The Complete Book of Questions</t>
  </si>
  <si>
    <t>1001 Conversation Starters for Any Occasion</t>
  </si>
  <si>
    <t>Christian life--Miscellanea.,Conversation--Miscellanea.</t>
  </si>
  <si>
    <t>Colossians, Philemon</t>
  </si>
  <si>
    <t>BS2715.3</t>
  </si>
  <si>
    <t>Choosing to Preach</t>
  </si>
  <si>
    <t>A Comprehensive Introduction to Sermon Options and Structures</t>
  </si>
  <si>
    <t>BV4211.3 .A535 2006eb</t>
  </si>
  <si>
    <t>Kenton C. Anderson</t>
  </si>
  <si>
    <t>Busted</t>
  </si>
  <si>
    <t>Exposing Popular Myths About Christianity</t>
  </si>
  <si>
    <t>Fred von Kamecke</t>
  </si>
  <si>
    <t>The Big Idea</t>
  </si>
  <si>
    <t>Focus the Message---Multiply the Impact</t>
  </si>
  <si>
    <t>BV601.8 .F47 2007eb</t>
  </si>
  <si>
    <t>Christianity and culture.,Church and the world.,Communication--Methodology.,Communication--Religious aspects--Christianity.,Information technology--Religious aspects--Christianity.,Mission of the church.</t>
  </si>
  <si>
    <t>Dave Ferguson-Jon Ferguson-Eric Bramlett</t>
  </si>
  <si>
    <t>The Bible for Blockheads---Revised Edition</t>
  </si>
  <si>
    <t>A User-Friendly Look at the Good Book</t>
  </si>
  <si>
    <t>BS475.2 .C67 2007eb</t>
  </si>
  <si>
    <t>Rev</t>
  </si>
  <si>
    <t>Becoming Conversant with the Emerging Church</t>
  </si>
  <si>
    <t>Understanding a Movement and Its Implications</t>
  </si>
  <si>
    <t>BR115.P74</t>
  </si>
  <si>
    <t>Non-institutional churches.,Postmodernism--Religious aspects--Christianity.</t>
  </si>
  <si>
    <t>The Art and Craft of Biblical Preaching</t>
  </si>
  <si>
    <t>A Comprehensive Resource for Today's Communicators</t>
  </si>
  <si>
    <t>BS534.5 .A78 2005eb</t>
  </si>
  <si>
    <t>BS2625.3 .F47 1998eb</t>
  </si>
  <si>
    <t>College Ministry 101</t>
  </si>
  <si>
    <t>A Guide to Working with 18-25 Year Olds</t>
  </si>
  <si>
    <t>BV4447 .B66 2009eb</t>
  </si>
  <si>
    <t>Church group work with youth.,Church work with youth.,College students--Religious life.</t>
  </si>
  <si>
    <t>The Atonement Debate</t>
  </si>
  <si>
    <t>Papers From the London Symposium on the Theology of Atonement</t>
  </si>
  <si>
    <t>Christian Beliefs</t>
  </si>
  <si>
    <t>Deliberate Simplicity</t>
  </si>
  <si>
    <t>How the Church Does More by Doing Less</t>
  </si>
  <si>
    <t>BV652.25 .B77 2009eb</t>
  </si>
  <si>
    <t>Christian leadership.,Church growth.,Church management.</t>
  </si>
  <si>
    <t>Dave Browning</t>
  </si>
  <si>
    <t>The Complete Guide to Marriage Mentoring</t>
  </si>
  <si>
    <t>Church work with married people.,Mentoring in church work.</t>
  </si>
  <si>
    <t>The Challenge of Bible Translation</t>
  </si>
  <si>
    <t>Communicating God's Word to the World</t>
  </si>
  <si>
    <t>BS449 .C43 2003eb</t>
  </si>
  <si>
    <t>The Basics of New Testament Syntax</t>
  </si>
  <si>
    <t>An Intermediate Greek Grammar</t>
  </si>
  <si>
    <t>Sticky Church</t>
  </si>
  <si>
    <t>Church group work.,Church growth.,Small groups--Religious aspects--Christianity.</t>
  </si>
  <si>
    <t>Gifted to Lead</t>
  </si>
  <si>
    <t>The Art of Leading As a Woman in the Church</t>
  </si>
  <si>
    <t>BV652.1 .B376 2008eb</t>
  </si>
  <si>
    <t>Christian leadership.,Women in church work.</t>
  </si>
  <si>
    <t>The Youth Worker's Guide to Helping Teenagers in Crisis</t>
  </si>
  <si>
    <t>BV4446</t>
  </si>
  <si>
    <t>Church group work with young adults.,Church group work with youth.,Church work with young adults.,Church work with youth.,Crisis intervention (Mental health services),Pastoral counseling.</t>
  </si>
  <si>
    <t>The Youth Ministry Survival Guide</t>
  </si>
  <si>
    <t>How to Thrive and Last for the Long Haul</t>
  </si>
  <si>
    <t>BV4447 .K355 2008eb</t>
  </si>
  <si>
    <t>Len Kageler</t>
  </si>
  <si>
    <t>Youth Ministry 3.0</t>
  </si>
  <si>
    <t>A Manifesto of Where Weâ€™ve Been, Where We Are and Where We Need to Go</t>
  </si>
  <si>
    <t>BV4447 .O37 2008eb</t>
  </si>
  <si>
    <t>Youth Culture 101</t>
  </si>
  <si>
    <t>BV4531.3 .M845 2007eb</t>
  </si>
  <si>
    <t>Christian teenagers--Religious life.,Church group work with teenagers.,Church work with teenagers.,Parent and teenager--Religious aspects--Christianity.</t>
  </si>
  <si>
    <t>Teenage Guys</t>
  </si>
  <si>
    <t>Exploring Issues Adolescent Guys Face and Strategies to Help Them</t>
  </si>
  <si>
    <t>BV4447 .G46 2006eb</t>
  </si>
  <si>
    <t>Adolescence.,Church group work with teenagers.,Church work with teenagers.,Teenage boys.</t>
  </si>
  <si>
    <t>Teenage Girls</t>
  </si>
  <si>
    <t>Exploring Issues Adolescent Girls Face and Strategies to Help Them</t>
  </si>
  <si>
    <t>BV4447 .O485 2006eb</t>
  </si>
  <si>
    <t>Christian life.,Church group work with teenagers.,Church work with teenagers.,Teenage girls--Religious life.</t>
  </si>
  <si>
    <t>Ginny Olson</t>
  </si>
  <si>
    <t>Speaking to Teenagers</t>
  </si>
  <si>
    <t>How to Think About, Create, and Deliver Effective Messages</t>
  </si>
  <si>
    <t>BV4447 .R633 2007eb</t>
  </si>
  <si>
    <t>Church work with teenagers.,Communication--Religious aspects--Christianity.,Preaching.</t>
  </si>
  <si>
    <t>Doug Fields-Duffy Robbins</t>
  </si>
  <si>
    <t>101 Ideas for Making Disciples in Your Youth Group</t>
  </si>
  <si>
    <t>BV4447 .J85 2007eb</t>
  </si>
  <si>
    <t>Church group work with youth.,Church work with youth.,Discipling (Christianity)</t>
  </si>
  <si>
    <t>C. Kent Julian</t>
  </si>
  <si>
    <t>10-Minute Talks</t>
  </si>
  <si>
    <t>Church work with teenagers.</t>
  </si>
  <si>
    <t>Overcoming Your Shadow Mission</t>
  </si>
  <si>
    <t>BS1375.52 .O78 2008eb</t>
  </si>
  <si>
    <t>Vocation--Christianity--Biblical teaching.</t>
  </si>
  <si>
    <t>Leading Character</t>
  </si>
  <si>
    <t>BV4597.53.L43 A44 2008eb</t>
  </si>
  <si>
    <t>Character--Religious aspects--Christianity.,Leadership--Religious aspects--Christianity.</t>
  </si>
  <si>
    <t>The Heart of the Artist</t>
  </si>
  <si>
    <t>BV4596.M87 N65 1999eb</t>
  </si>
  <si>
    <t>Artists--Religious life.,Christian life.,Church musicians--Religious life.</t>
  </si>
  <si>
    <t>Rick Warren's Bible Study Methods</t>
  </si>
  <si>
    <t>Twelve Ways You Can Unlock God's Word</t>
  </si>
  <si>
    <t>A Generous Orthodoxy</t>
  </si>
  <si>
    <t>By Celebrating Strengths of Many Traditions in the Church (and Beyond), This Book Will Seek to Communicate a â€œgenerous Orthodoxy.â€</t>
  </si>
  <si>
    <t>BT60 .M37 2004eb</t>
  </si>
  <si>
    <t>Christianity--Essence, genius, nature.</t>
  </si>
  <si>
    <t>Halley's Bible Handbook, Classic Edition</t>
  </si>
  <si>
    <t>The Purpose Driven Church</t>
  </si>
  <si>
    <t>Growth Without Compromising Your Message and 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</si>
</sst>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75"/>
  <sheetViews>
    <sheetView tabSelected="1" workbookViewId="0">
      <selection activeCell="E15" sqref="E15"/>
    </sheetView>
  </sheetViews>
  <sheetFormatPr defaultRowHeight="14.4" x14ac:dyDescent="0.3"/>
  <cols>
    <col min="2" max="2" width="14.33203125" customWidth="1"/>
    <col min="3" max="3" width="58.88671875" customWidth="1"/>
    <col min="4" max="5" width="22.6640625" customWidth="1"/>
    <col min="6" max="6" width="26.44140625" customWidth="1"/>
    <col min="7" max="7" width="17" customWidth="1"/>
  </cols>
  <sheetData>
    <row r="1" spans="1:2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3">
      <c r="A2">
        <v>3363711</v>
      </c>
      <c r="B2">
        <v>46.16</v>
      </c>
      <c r="C2" t="s">
        <v>27</v>
      </c>
      <c r="E2" t="s">
        <v>23</v>
      </c>
      <c r="F2" t="s">
        <v>28</v>
      </c>
      <c r="G2">
        <v>2012</v>
      </c>
      <c r="H2" t="s">
        <v>29</v>
      </c>
      <c r="K2" t="s">
        <v>25</v>
      </c>
      <c r="L2" t="s">
        <v>30</v>
      </c>
      <c r="M2" t="b">
        <v>1</v>
      </c>
      <c r="N2" t="s">
        <v>31</v>
      </c>
      <c r="Q2" t="b">
        <v>1</v>
      </c>
      <c r="T2" t="str">
        <f>"9780310741091"</f>
        <v>9780310741091</v>
      </c>
      <c r="U2" t="b">
        <v>0</v>
      </c>
      <c r="W2" t="b">
        <v>0</v>
      </c>
    </row>
    <row r="3" spans="1:23" x14ac:dyDescent="0.3">
      <c r="A3">
        <v>3363710</v>
      </c>
      <c r="B3">
        <v>44.82</v>
      </c>
      <c r="C3" t="s">
        <v>32</v>
      </c>
      <c r="D3" t="s">
        <v>33</v>
      </c>
      <c r="E3" t="s">
        <v>23</v>
      </c>
      <c r="F3" t="s">
        <v>28</v>
      </c>
      <c r="G3">
        <v>2017</v>
      </c>
      <c r="H3" t="s">
        <v>34</v>
      </c>
      <c r="K3" t="s">
        <v>25</v>
      </c>
      <c r="L3" t="s">
        <v>30</v>
      </c>
      <c r="M3" t="b">
        <v>1</v>
      </c>
      <c r="N3" t="s">
        <v>35</v>
      </c>
      <c r="P3" t="s">
        <v>36</v>
      </c>
      <c r="Q3" t="b">
        <v>1</v>
      </c>
      <c r="S3" t="str">
        <f>"9780310760801"</f>
        <v>9780310760801</v>
      </c>
      <c r="T3" t="str">
        <f>"9780310760795"</f>
        <v>9780310760795</v>
      </c>
      <c r="U3" t="b">
        <v>0</v>
      </c>
      <c r="W3" t="b">
        <v>0</v>
      </c>
    </row>
    <row r="4" spans="1:23" x14ac:dyDescent="0.3">
      <c r="A4">
        <v>3363709</v>
      </c>
      <c r="B4">
        <v>37.92</v>
      </c>
      <c r="C4" t="s">
        <v>37</v>
      </c>
      <c r="E4" t="s">
        <v>23</v>
      </c>
      <c r="F4" t="s">
        <v>28</v>
      </c>
      <c r="G4">
        <v>2017</v>
      </c>
      <c r="H4" t="s">
        <v>38</v>
      </c>
      <c r="K4" t="s">
        <v>25</v>
      </c>
      <c r="L4" t="s">
        <v>30</v>
      </c>
      <c r="M4" t="b">
        <v>1</v>
      </c>
      <c r="N4" t="s">
        <v>39</v>
      </c>
      <c r="P4" t="s">
        <v>36</v>
      </c>
      <c r="Q4" t="b">
        <v>1</v>
      </c>
      <c r="S4" t="str">
        <f>"9780310753384"</f>
        <v>9780310753384</v>
      </c>
      <c r="T4" t="str">
        <f>"9780310753629"</f>
        <v>9780310753629</v>
      </c>
      <c r="U4" t="b">
        <v>0</v>
      </c>
      <c r="W4" t="b">
        <v>0</v>
      </c>
    </row>
    <row r="5" spans="1:23" x14ac:dyDescent="0.3">
      <c r="A5">
        <v>3363708</v>
      </c>
      <c r="B5">
        <v>17.73</v>
      </c>
      <c r="C5" t="s">
        <v>40</v>
      </c>
      <c r="E5" t="s">
        <v>23</v>
      </c>
      <c r="F5" t="s">
        <v>28</v>
      </c>
      <c r="G5">
        <v>2012</v>
      </c>
      <c r="H5" t="s">
        <v>41</v>
      </c>
      <c r="K5" t="s">
        <v>25</v>
      </c>
      <c r="L5" t="s">
        <v>30</v>
      </c>
      <c r="M5" t="b">
        <v>1</v>
      </c>
      <c r="N5" t="s">
        <v>35</v>
      </c>
      <c r="P5" t="s">
        <v>36</v>
      </c>
      <c r="Q5" t="b">
        <v>1</v>
      </c>
      <c r="T5" t="str">
        <f>"9780310701644"</f>
        <v>9780310701644</v>
      </c>
      <c r="U5" t="b">
        <v>0</v>
      </c>
      <c r="W5" t="b">
        <v>0</v>
      </c>
    </row>
    <row r="6" spans="1:23" x14ac:dyDescent="0.3">
      <c r="A6">
        <v>3343203</v>
      </c>
      <c r="B6">
        <v>79.319999999999993</v>
      </c>
      <c r="C6" t="s">
        <v>42</v>
      </c>
      <c r="D6" t="s">
        <v>43</v>
      </c>
      <c r="E6" t="s">
        <v>23</v>
      </c>
      <c r="F6" t="s">
        <v>44</v>
      </c>
      <c r="G6">
        <v>2014</v>
      </c>
      <c r="H6" t="s">
        <v>45</v>
      </c>
      <c r="K6" t="s">
        <v>25</v>
      </c>
      <c r="L6" t="s">
        <v>30</v>
      </c>
      <c r="M6" t="b">
        <v>1</v>
      </c>
      <c r="N6" t="s">
        <v>46</v>
      </c>
      <c r="Q6" t="b">
        <v>0</v>
      </c>
      <c r="S6" t="str">
        <f>"9780310326274"</f>
        <v>9780310326274</v>
      </c>
      <c r="T6" t="str">
        <f>"9780310337447"</f>
        <v>9780310337447</v>
      </c>
      <c r="U6" t="b">
        <v>0</v>
      </c>
      <c r="W6" t="b">
        <v>0</v>
      </c>
    </row>
    <row r="7" spans="1:23" x14ac:dyDescent="0.3">
      <c r="A7">
        <v>3341761</v>
      </c>
      <c r="B7">
        <v>37.92</v>
      </c>
      <c r="C7" t="s">
        <v>47</v>
      </c>
      <c r="D7" t="s">
        <v>48</v>
      </c>
      <c r="E7" t="s">
        <v>49</v>
      </c>
      <c r="F7" t="s">
        <v>44</v>
      </c>
      <c r="G7">
        <v>2009</v>
      </c>
      <c r="H7" t="s">
        <v>50</v>
      </c>
      <c r="K7" t="s">
        <v>25</v>
      </c>
      <c r="L7" t="s">
        <v>30</v>
      </c>
      <c r="M7" t="b">
        <v>1</v>
      </c>
      <c r="N7" t="s">
        <v>51</v>
      </c>
      <c r="Q7" t="b">
        <v>0</v>
      </c>
      <c r="S7" t="str">
        <f>"9780310271604"</f>
        <v>9780310271604</v>
      </c>
      <c r="T7" t="str">
        <f>"9780310861119"</f>
        <v>9780310861119</v>
      </c>
      <c r="U7" t="b">
        <v>0</v>
      </c>
      <c r="W7" t="b">
        <v>0</v>
      </c>
    </row>
    <row r="8" spans="1:23" x14ac:dyDescent="0.3">
      <c r="A8">
        <v>3311359</v>
      </c>
      <c r="B8">
        <v>58.62</v>
      </c>
      <c r="C8" t="s">
        <v>61</v>
      </c>
      <c r="E8" t="s">
        <v>23</v>
      </c>
      <c r="F8" t="s">
        <v>44</v>
      </c>
      <c r="G8">
        <v>2022</v>
      </c>
      <c r="H8" t="s">
        <v>62</v>
      </c>
      <c r="K8" t="s">
        <v>25</v>
      </c>
      <c r="L8" t="s">
        <v>26</v>
      </c>
      <c r="M8" t="b">
        <v>1</v>
      </c>
      <c r="N8" t="s">
        <v>63</v>
      </c>
      <c r="P8" t="s">
        <v>64</v>
      </c>
      <c r="Q8" t="b">
        <v>0</v>
      </c>
      <c r="S8" t="str">
        <f>"9780310365129"</f>
        <v>9780310365129</v>
      </c>
      <c r="T8" t="str">
        <f>"9780310367352"</f>
        <v>9780310367352</v>
      </c>
      <c r="U8" t="b">
        <v>0</v>
      </c>
      <c r="W8" t="b">
        <v>0</v>
      </c>
    </row>
    <row r="9" spans="1:23" x14ac:dyDescent="0.3">
      <c r="A9">
        <v>3302540</v>
      </c>
      <c r="B9">
        <v>13.77</v>
      </c>
      <c r="C9" t="s">
        <v>79</v>
      </c>
      <c r="E9" t="s">
        <v>23</v>
      </c>
      <c r="F9" t="s">
        <v>28</v>
      </c>
      <c r="G9">
        <v>2012</v>
      </c>
      <c r="H9" t="s">
        <v>41</v>
      </c>
      <c r="K9" t="s">
        <v>25</v>
      </c>
      <c r="L9" t="s">
        <v>30</v>
      </c>
      <c r="M9" t="b">
        <v>1</v>
      </c>
      <c r="N9" t="s">
        <v>39</v>
      </c>
      <c r="P9" t="s">
        <v>36</v>
      </c>
      <c r="Q9" t="b">
        <v>1</v>
      </c>
      <c r="S9" t="str">
        <f>"9780310712497"</f>
        <v>9780310712497</v>
      </c>
      <c r="T9" t="str">
        <f>"9780310700999"</f>
        <v>9780310700999</v>
      </c>
      <c r="U9" t="b">
        <v>0</v>
      </c>
      <c r="W9" t="b">
        <v>0</v>
      </c>
    </row>
    <row r="10" spans="1:23" x14ac:dyDescent="0.3">
      <c r="A10">
        <v>3302539</v>
      </c>
      <c r="B10">
        <v>21.29</v>
      </c>
      <c r="C10" t="s">
        <v>80</v>
      </c>
      <c r="D10" t="s">
        <v>81</v>
      </c>
      <c r="E10" t="s">
        <v>23</v>
      </c>
      <c r="F10" t="s">
        <v>28</v>
      </c>
      <c r="G10">
        <v>2009</v>
      </c>
      <c r="H10" t="s">
        <v>82</v>
      </c>
      <c r="K10" t="s">
        <v>25</v>
      </c>
      <c r="L10" t="s">
        <v>30</v>
      </c>
      <c r="M10" t="b">
        <v>1</v>
      </c>
      <c r="N10" t="s">
        <v>83</v>
      </c>
      <c r="P10" t="s">
        <v>84</v>
      </c>
      <c r="Q10" t="b">
        <v>0</v>
      </c>
      <c r="T10" t="str">
        <f>"9780310567394"</f>
        <v>9780310567394</v>
      </c>
      <c r="U10" t="b">
        <v>0</v>
      </c>
      <c r="W10" t="b">
        <v>0</v>
      </c>
    </row>
    <row r="11" spans="1:23" x14ac:dyDescent="0.3">
      <c r="A11">
        <v>3302536</v>
      </c>
      <c r="B11">
        <v>17.22</v>
      </c>
      <c r="C11" t="s">
        <v>85</v>
      </c>
      <c r="E11" t="s">
        <v>23</v>
      </c>
      <c r="F11" t="s">
        <v>28</v>
      </c>
      <c r="G11">
        <v>2012</v>
      </c>
      <c r="H11" t="s">
        <v>34</v>
      </c>
      <c r="K11" t="s">
        <v>25</v>
      </c>
      <c r="L11" t="s">
        <v>30</v>
      </c>
      <c r="M11" t="b">
        <v>1</v>
      </c>
      <c r="N11" t="s">
        <v>39</v>
      </c>
      <c r="P11" t="s">
        <v>36</v>
      </c>
      <c r="Q11" t="b">
        <v>1</v>
      </c>
      <c r="S11" t="str">
        <f>"9780310712527"</f>
        <v>9780310712527</v>
      </c>
      <c r="T11" t="str">
        <f>"9780310701088"</f>
        <v>9780310701088</v>
      </c>
      <c r="U11" t="b">
        <v>0</v>
      </c>
      <c r="W11" t="b">
        <v>0</v>
      </c>
    </row>
    <row r="12" spans="1:23" x14ac:dyDescent="0.3">
      <c r="A12">
        <v>3302533</v>
      </c>
      <c r="B12">
        <v>17.22</v>
      </c>
      <c r="C12" t="s">
        <v>86</v>
      </c>
      <c r="E12" t="s">
        <v>23</v>
      </c>
      <c r="F12" t="s">
        <v>28</v>
      </c>
      <c r="G12">
        <v>2012</v>
      </c>
      <c r="H12" t="s">
        <v>34</v>
      </c>
      <c r="K12" t="s">
        <v>25</v>
      </c>
      <c r="L12" t="s">
        <v>30</v>
      </c>
      <c r="M12" t="b">
        <v>1</v>
      </c>
      <c r="N12" t="s">
        <v>35</v>
      </c>
      <c r="P12" t="s">
        <v>36</v>
      </c>
      <c r="Q12" t="b">
        <v>1</v>
      </c>
      <c r="S12" t="str">
        <f>"9780310712466"</f>
        <v>9780310712466</v>
      </c>
      <c r="T12" t="str">
        <f>"9780310701095"</f>
        <v>9780310701095</v>
      </c>
      <c r="U12" t="b">
        <v>0</v>
      </c>
      <c r="W12" t="b">
        <v>0</v>
      </c>
    </row>
    <row r="13" spans="1:23" x14ac:dyDescent="0.3">
      <c r="A13">
        <v>3302446</v>
      </c>
      <c r="B13">
        <v>58.62</v>
      </c>
      <c r="C13" t="s">
        <v>90</v>
      </c>
      <c r="E13" t="s">
        <v>23</v>
      </c>
      <c r="F13" t="s">
        <v>28</v>
      </c>
      <c r="G13">
        <v>2017</v>
      </c>
      <c r="H13" t="s">
        <v>91</v>
      </c>
      <c r="K13" t="s">
        <v>25</v>
      </c>
      <c r="L13" t="s">
        <v>30</v>
      </c>
      <c r="M13" t="b">
        <v>1</v>
      </c>
      <c r="N13" t="s">
        <v>44</v>
      </c>
      <c r="Q13" t="b">
        <v>0</v>
      </c>
      <c r="S13" t="str">
        <f>"9780310757924"</f>
        <v>9780310757924</v>
      </c>
      <c r="T13" t="str">
        <f>"9780310757948"</f>
        <v>9780310757948</v>
      </c>
      <c r="U13" t="b">
        <v>0</v>
      </c>
      <c r="W13" t="b">
        <v>0</v>
      </c>
    </row>
    <row r="14" spans="1:23" x14ac:dyDescent="0.3">
      <c r="A14">
        <v>3302437</v>
      </c>
      <c r="B14">
        <v>17.22</v>
      </c>
      <c r="C14" t="s">
        <v>92</v>
      </c>
      <c r="D14" t="s">
        <v>93</v>
      </c>
      <c r="E14" t="s">
        <v>23</v>
      </c>
      <c r="F14" t="s">
        <v>28</v>
      </c>
      <c r="G14">
        <v>2012</v>
      </c>
      <c r="H14" t="s">
        <v>34</v>
      </c>
      <c r="K14" t="s">
        <v>25</v>
      </c>
      <c r="L14" t="s">
        <v>30</v>
      </c>
      <c r="M14" t="b">
        <v>1</v>
      </c>
      <c r="N14" t="s">
        <v>94</v>
      </c>
      <c r="P14" t="s">
        <v>95</v>
      </c>
      <c r="Q14" t="b">
        <v>1</v>
      </c>
      <c r="S14" t="str">
        <f>"9780310727309"</f>
        <v>9780310727309</v>
      </c>
      <c r="T14" t="str">
        <f>"9780310720119"</f>
        <v>9780310720119</v>
      </c>
      <c r="U14" t="b">
        <v>0</v>
      </c>
      <c r="W14" t="b">
        <v>0</v>
      </c>
    </row>
    <row r="15" spans="1:23" x14ac:dyDescent="0.3">
      <c r="A15">
        <v>3302436</v>
      </c>
      <c r="B15">
        <v>17.22</v>
      </c>
      <c r="C15" t="s">
        <v>96</v>
      </c>
      <c r="D15" t="s">
        <v>93</v>
      </c>
      <c r="E15" t="s">
        <v>23</v>
      </c>
      <c r="F15" t="s">
        <v>28</v>
      </c>
      <c r="G15">
        <v>2012</v>
      </c>
      <c r="H15" t="s">
        <v>34</v>
      </c>
      <c r="K15" t="s">
        <v>25</v>
      </c>
      <c r="L15" t="s">
        <v>30</v>
      </c>
      <c r="M15" t="b">
        <v>1</v>
      </c>
      <c r="N15" t="s">
        <v>94</v>
      </c>
      <c r="P15" t="s">
        <v>95</v>
      </c>
      <c r="Q15" t="b">
        <v>1</v>
      </c>
      <c r="S15" t="str">
        <f>"9780310727316"</f>
        <v>9780310727316</v>
      </c>
      <c r="T15" t="str">
        <f>"9780310723691"</f>
        <v>9780310723691</v>
      </c>
      <c r="U15" t="b">
        <v>0</v>
      </c>
      <c r="W15" t="b">
        <v>0</v>
      </c>
    </row>
    <row r="16" spans="1:23" x14ac:dyDescent="0.3">
      <c r="A16">
        <v>3292524</v>
      </c>
      <c r="B16">
        <v>65.52</v>
      </c>
      <c r="C16" t="s">
        <v>104</v>
      </c>
      <c r="D16" t="s">
        <v>105</v>
      </c>
      <c r="E16" t="s">
        <v>23</v>
      </c>
      <c r="F16" t="s">
        <v>106</v>
      </c>
      <c r="G16">
        <v>2022</v>
      </c>
      <c r="H16" t="s">
        <v>107</v>
      </c>
      <c r="K16" t="s">
        <v>25</v>
      </c>
      <c r="L16" t="s">
        <v>26</v>
      </c>
      <c r="M16" t="b">
        <v>1</v>
      </c>
      <c r="N16" t="s">
        <v>108</v>
      </c>
      <c r="Q16" t="b">
        <v>0</v>
      </c>
      <c r="S16" t="str">
        <f>"9780310142553"</f>
        <v>9780310142553</v>
      </c>
      <c r="T16" t="str">
        <f>"9780310142577"</f>
        <v>9780310142577</v>
      </c>
      <c r="U16" t="b">
        <v>0</v>
      </c>
      <c r="W16" t="b">
        <v>0</v>
      </c>
    </row>
    <row r="17" spans="1:23" x14ac:dyDescent="0.3">
      <c r="A17">
        <v>3288404</v>
      </c>
      <c r="B17">
        <v>62.07</v>
      </c>
      <c r="C17" t="s">
        <v>109</v>
      </c>
      <c r="D17" t="s">
        <v>110</v>
      </c>
      <c r="E17" t="s">
        <v>23</v>
      </c>
      <c r="F17" t="s">
        <v>44</v>
      </c>
      <c r="G17">
        <v>2009</v>
      </c>
      <c r="H17" t="s">
        <v>70</v>
      </c>
      <c r="K17" t="s">
        <v>25</v>
      </c>
      <c r="L17" t="s">
        <v>26</v>
      </c>
      <c r="M17" t="b">
        <v>1</v>
      </c>
      <c r="N17" t="s">
        <v>111</v>
      </c>
      <c r="Q17" t="b">
        <v>0</v>
      </c>
      <c r="S17" t="str">
        <f>"9780310590002"</f>
        <v>9780310590002</v>
      </c>
      <c r="T17" t="str">
        <f>"9780310153313"</f>
        <v>9780310153313</v>
      </c>
      <c r="U17" t="b">
        <v>0</v>
      </c>
      <c r="W17" t="b">
        <v>0</v>
      </c>
    </row>
    <row r="18" spans="1:23" x14ac:dyDescent="0.3">
      <c r="A18">
        <v>3274897</v>
      </c>
      <c r="B18">
        <v>65.52</v>
      </c>
      <c r="C18" t="s">
        <v>113</v>
      </c>
      <c r="D18" t="s">
        <v>114</v>
      </c>
      <c r="E18" t="s">
        <v>23</v>
      </c>
      <c r="F18" t="s">
        <v>106</v>
      </c>
      <c r="G18">
        <v>2022</v>
      </c>
      <c r="H18" t="s">
        <v>115</v>
      </c>
      <c r="K18" t="s">
        <v>25</v>
      </c>
      <c r="L18" t="s">
        <v>26</v>
      </c>
      <c r="M18" t="b">
        <v>1</v>
      </c>
      <c r="N18" t="s">
        <v>116</v>
      </c>
      <c r="Q18" t="b">
        <v>0</v>
      </c>
      <c r="S18" t="str">
        <f>"9780310151906"</f>
        <v>9780310151906</v>
      </c>
      <c r="T18" t="str">
        <f>"9780310152064"</f>
        <v>9780310152064</v>
      </c>
      <c r="U18" t="b">
        <v>0</v>
      </c>
      <c r="W18" t="b">
        <v>0</v>
      </c>
    </row>
    <row r="19" spans="1:23" x14ac:dyDescent="0.3">
      <c r="A19">
        <v>3264856</v>
      </c>
      <c r="B19">
        <v>86.22</v>
      </c>
      <c r="C19" t="s">
        <v>117</v>
      </c>
      <c r="D19" t="s">
        <v>118</v>
      </c>
      <c r="E19" t="s">
        <v>23</v>
      </c>
      <c r="F19" t="s">
        <v>44</v>
      </c>
      <c r="G19">
        <v>2022</v>
      </c>
      <c r="H19" t="s">
        <v>119</v>
      </c>
      <c r="K19" t="s">
        <v>25</v>
      </c>
      <c r="L19" t="s">
        <v>26</v>
      </c>
      <c r="M19" t="b">
        <v>1</v>
      </c>
      <c r="N19" t="s">
        <v>120</v>
      </c>
      <c r="Q19" t="b">
        <v>0</v>
      </c>
      <c r="S19" t="str">
        <f>"9780310136736"</f>
        <v>9780310136736</v>
      </c>
      <c r="T19" t="str">
        <f>"9780310136743"</f>
        <v>9780310136743</v>
      </c>
      <c r="U19" t="b">
        <v>0</v>
      </c>
      <c r="W19" t="b">
        <v>0</v>
      </c>
    </row>
    <row r="20" spans="1:23" x14ac:dyDescent="0.3">
      <c r="A20">
        <v>3199656</v>
      </c>
      <c r="B20">
        <v>34.47</v>
      </c>
      <c r="C20" t="s">
        <v>122</v>
      </c>
      <c r="E20" t="s">
        <v>23</v>
      </c>
      <c r="F20" t="s">
        <v>28</v>
      </c>
      <c r="G20">
        <v>2022</v>
      </c>
      <c r="H20" t="s">
        <v>123</v>
      </c>
      <c r="K20" t="s">
        <v>25</v>
      </c>
      <c r="L20" t="s">
        <v>26</v>
      </c>
      <c r="M20" t="b">
        <v>1</v>
      </c>
      <c r="N20" t="s">
        <v>124</v>
      </c>
      <c r="P20" t="s">
        <v>125</v>
      </c>
      <c r="Q20" t="b">
        <v>0</v>
      </c>
      <c r="S20" t="str">
        <f>"9780310771197"</f>
        <v>9780310771197</v>
      </c>
      <c r="T20" t="str">
        <f>"9780310771203"</f>
        <v>9780310771203</v>
      </c>
      <c r="U20" t="b">
        <v>0</v>
      </c>
      <c r="W20" t="b">
        <v>0</v>
      </c>
    </row>
    <row r="21" spans="1:23" x14ac:dyDescent="0.3">
      <c r="A21">
        <v>3199651</v>
      </c>
      <c r="B21">
        <v>58.62</v>
      </c>
      <c r="C21" t="s">
        <v>126</v>
      </c>
      <c r="D21" t="s">
        <v>127</v>
      </c>
      <c r="E21" t="s">
        <v>23</v>
      </c>
      <c r="F21" t="s">
        <v>44</v>
      </c>
      <c r="G21">
        <v>2022</v>
      </c>
      <c r="H21" t="s">
        <v>128</v>
      </c>
      <c r="K21" t="s">
        <v>25</v>
      </c>
      <c r="L21" t="s">
        <v>26</v>
      </c>
      <c r="M21" t="b">
        <v>1</v>
      </c>
      <c r="N21" t="s">
        <v>129</v>
      </c>
      <c r="P21" t="s">
        <v>130</v>
      </c>
      <c r="Q21" t="b">
        <v>0</v>
      </c>
      <c r="S21" t="str">
        <f>"9780310771210"</f>
        <v>9780310771210</v>
      </c>
      <c r="T21" t="str">
        <f>"9780310771227"</f>
        <v>9780310771227</v>
      </c>
      <c r="U21" t="b">
        <v>0</v>
      </c>
      <c r="W21" t="b">
        <v>0</v>
      </c>
    </row>
    <row r="22" spans="1:23" x14ac:dyDescent="0.3">
      <c r="A22">
        <v>3151783</v>
      </c>
      <c r="B22">
        <v>17.22</v>
      </c>
      <c r="C22" t="s">
        <v>134</v>
      </c>
      <c r="E22" t="s">
        <v>23</v>
      </c>
      <c r="F22" t="s">
        <v>28</v>
      </c>
      <c r="G22">
        <v>2016</v>
      </c>
      <c r="H22" t="s">
        <v>29</v>
      </c>
      <c r="K22" t="s">
        <v>25</v>
      </c>
      <c r="L22" t="s">
        <v>26</v>
      </c>
      <c r="M22" t="b">
        <v>1</v>
      </c>
      <c r="N22" t="s">
        <v>39</v>
      </c>
      <c r="P22" t="s">
        <v>36</v>
      </c>
      <c r="Q22" t="b">
        <v>1</v>
      </c>
      <c r="S22" t="str">
        <f>"9780310720874"</f>
        <v>9780310720874</v>
      </c>
      <c r="T22" t="str">
        <f>"9780310755883"</f>
        <v>9780310755883</v>
      </c>
      <c r="U22" t="b">
        <v>0</v>
      </c>
      <c r="W22" t="b">
        <v>0</v>
      </c>
    </row>
    <row r="23" spans="1:23" x14ac:dyDescent="0.3">
      <c r="A23">
        <v>3150915</v>
      </c>
      <c r="B23">
        <v>44.82</v>
      </c>
      <c r="C23" t="s">
        <v>136</v>
      </c>
      <c r="E23" t="s">
        <v>23</v>
      </c>
      <c r="F23" t="s">
        <v>44</v>
      </c>
      <c r="G23">
        <v>2016</v>
      </c>
      <c r="H23" t="s">
        <v>29</v>
      </c>
      <c r="K23" t="s">
        <v>25</v>
      </c>
      <c r="L23" t="s">
        <v>26</v>
      </c>
      <c r="M23" t="b">
        <v>1</v>
      </c>
      <c r="N23" t="s">
        <v>35</v>
      </c>
      <c r="P23" t="s">
        <v>36</v>
      </c>
      <c r="Q23" t="b">
        <v>1</v>
      </c>
      <c r="S23" t="str">
        <f>"9780310719403"</f>
        <v>9780310719403</v>
      </c>
      <c r="T23" t="str">
        <f>"9780310755999"</f>
        <v>9780310755999</v>
      </c>
      <c r="U23" t="b">
        <v>0</v>
      </c>
      <c r="W23" t="b">
        <v>0</v>
      </c>
    </row>
    <row r="24" spans="1:23" x14ac:dyDescent="0.3">
      <c r="A24">
        <v>3150908</v>
      </c>
      <c r="B24">
        <v>17.22</v>
      </c>
      <c r="C24" t="s">
        <v>137</v>
      </c>
      <c r="D24" t="s">
        <v>138</v>
      </c>
      <c r="E24" t="s">
        <v>23</v>
      </c>
      <c r="F24" t="s">
        <v>44</v>
      </c>
      <c r="G24">
        <v>2015</v>
      </c>
      <c r="H24" t="s">
        <v>34</v>
      </c>
      <c r="K24" t="s">
        <v>25</v>
      </c>
      <c r="L24" t="s">
        <v>26</v>
      </c>
      <c r="M24" t="b">
        <v>1</v>
      </c>
      <c r="N24" t="s">
        <v>139</v>
      </c>
      <c r="P24" t="s">
        <v>140</v>
      </c>
      <c r="Q24" t="b">
        <v>1</v>
      </c>
      <c r="S24" t="str">
        <f>"9780310718505"</f>
        <v>9780310718505</v>
      </c>
      <c r="T24" t="str">
        <f>"9780310754435"</f>
        <v>9780310754435</v>
      </c>
      <c r="U24" t="b">
        <v>0</v>
      </c>
      <c r="W24" t="b">
        <v>0</v>
      </c>
    </row>
    <row r="25" spans="1:23" x14ac:dyDescent="0.3">
      <c r="A25">
        <v>3150808</v>
      </c>
      <c r="B25">
        <v>17.22</v>
      </c>
      <c r="C25" t="s">
        <v>142</v>
      </c>
      <c r="D25" t="s">
        <v>143</v>
      </c>
      <c r="E25" t="s">
        <v>23</v>
      </c>
      <c r="F25" t="s">
        <v>28</v>
      </c>
      <c r="G25">
        <v>2012</v>
      </c>
      <c r="H25" t="s">
        <v>144</v>
      </c>
      <c r="K25" t="s">
        <v>25</v>
      </c>
      <c r="L25" t="s">
        <v>145</v>
      </c>
      <c r="M25" t="b">
        <v>1</v>
      </c>
      <c r="N25" t="s">
        <v>146</v>
      </c>
      <c r="P25" t="s">
        <v>147</v>
      </c>
      <c r="Q25" t="b">
        <v>0</v>
      </c>
      <c r="S25" t="str">
        <f>"9780310714613"</f>
        <v>9780310714613</v>
      </c>
      <c r="T25" t="str">
        <f>"9780310733539"</f>
        <v>9780310733539</v>
      </c>
      <c r="U25" t="b">
        <v>0</v>
      </c>
      <c r="W25" t="b">
        <v>0</v>
      </c>
    </row>
    <row r="26" spans="1:23" x14ac:dyDescent="0.3">
      <c r="A26">
        <v>3150807</v>
      </c>
      <c r="B26">
        <v>17.73</v>
      </c>
      <c r="C26" t="s">
        <v>148</v>
      </c>
      <c r="D26" t="s">
        <v>143</v>
      </c>
      <c r="E26" t="s">
        <v>23</v>
      </c>
      <c r="F26" t="s">
        <v>28</v>
      </c>
      <c r="G26">
        <v>2012</v>
      </c>
      <c r="H26" t="s">
        <v>144</v>
      </c>
      <c r="K26" t="s">
        <v>25</v>
      </c>
      <c r="L26" t="s">
        <v>145</v>
      </c>
      <c r="M26" t="b">
        <v>1</v>
      </c>
      <c r="N26" t="s">
        <v>146</v>
      </c>
      <c r="P26" t="s">
        <v>147</v>
      </c>
      <c r="Q26" t="b">
        <v>0</v>
      </c>
      <c r="T26" t="str">
        <f>"9780310733522"</f>
        <v>9780310733522</v>
      </c>
      <c r="U26" t="b">
        <v>0</v>
      </c>
      <c r="W26" t="b">
        <v>0</v>
      </c>
    </row>
    <row r="27" spans="1:23" x14ac:dyDescent="0.3">
      <c r="A27">
        <v>3150806</v>
      </c>
      <c r="B27">
        <v>17.73</v>
      </c>
      <c r="C27" t="s">
        <v>149</v>
      </c>
      <c r="D27" t="s">
        <v>143</v>
      </c>
      <c r="E27" t="s">
        <v>23</v>
      </c>
      <c r="F27" t="s">
        <v>28</v>
      </c>
      <c r="G27">
        <v>2012</v>
      </c>
      <c r="H27" t="s">
        <v>144</v>
      </c>
      <c r="K27" t="s">
        <v>25</v>
      </c>
      <c r="L27" t="s">
        <v>145</v>
      </c>
      <c r="M27" t="b">
        <v>1</v>
      </c>
      <c r="N27" t="s">
        <v>146</v>
      </c>
      <c r="P27" t="s">
        <v>147</v>
      </c>
      <c r="Q27" t="b">
        <v>0</v>
      </c>
      <c r="T27" t="str">
        <f>"9780310733478"</f>
        <v>9780310733478</v>
      </c>
      <c r="U27" t="b">
        <v>0</v>
      </c>
      <c r="W27" t="b">
        <v>0</v>
      </c>
    </row>
    <row r="28" spans="1:23" x14ac:dyDescent="0.3">
      <c r="A28">
        <v>3150805</v>
      </c>
      <c r="B28">
        <v>14.18</v>
      </c>
      <c r="C28" t="s">
        <v>150</v>
      </c>
      <c r="E28" t="s">
        <v>23</v>
      </c>
      <c r="F28" t="s">
        <v>28</v>
      </c>
      <c r="G28">
        <v>2016</v>
      </c>
      <c r="H28" t="s">
        <v>34</v>
      </c>
      <c r="K28" t="s">
        <v>25</v>
      </c>
      <c r="L28" t="s">
        <v>26</v>
      </c>
      <c r="M28" t="b">
        <v>1</v>
      </c>
      <c r="N28" t="s">
        <v>39</v>
      </c>
      <c r="P28" t="s">
        <v>36</v>
      </c>
      <c r="Q28" t="b">
        <v>1</v>
      </c>
      <c r="T28" t="str">
        <f>"9780310756491"</f>
        <v>9780310756491</v>
      </c>
      <c r="U28" t="b">
        <v>0</v>
      </c>
      <c r="W28" t="b">
        <v>0</v>
      </c>
    </row>
    <row r="29" spans="1:23" x14ac:dyDescent="0.3">
      <c r="A29">
        <v>3150804</v>
      </c>
      <c r="B29">
        <v>17.73</v>
      </c>
      <c r="C29" t="s">
        <v>151</v>
      </c>
      <c r="E29" t="s">
        <v>23</v>
      </c>
      <c r="F29" t="s">
        <v>28</v>
      </c>
      <c r="G29">
        <v>2016</v>
      </c>
      <c r="H29" t="s">
        <v>41</v>
      </c>
      <c r="K29" t="s">
        <v>25</v>
      </c>
      <c r="L29" t="s">
        <v>145</v>
      </c>
      <c r="M29" t="b">
        <v>1</v>
      </c>
      <c r="N29" t="s">
        <v>35</v>
      </c>
      <c r="P29" t="s">
        <v>36</v>
      </c>
      <c r="Q29" t="b">
        <v>1</v>
      </c>
      <c r="T29" t="str">
        <f>"9780310756668"</f>
        <v>9780310756668</v>
      </c>
      <c r="U29" t="b">
        <v>0</v>
      </c>
      <c r="W29" t="b">
        <v>0</v>
      </c>
    </row>
    <row r="30" spans="1:23" x14ac:dyDescent="0.3">
      <c r="A30">
        <v>3150803</v>
      </c>
      <c r="B30">
        <v>17.22</v>
      </c>
      <c r="C30" t="s">
        <v>152</v>
      </c>
      <c r="D30" t="s">
        <v>93</v>
      </c>
      <c r="E30" t="s">
        <v>23</v>
      </c>
      <c r="F30" t="s">
        <v>28</v>
      </c>
      <c r="G30">
        <v>2016</v>
      </c>
      <c r="H30" t="s">
        <v>153</v>
      </c>
      <c r="K30" t="s">
        <v>25</v>
      </c>
      <c r="L30" t="s">
        <v>26</v>
      </c>
      <c r="M30" t="b">
        <v>1</v>
      </c>
      <c r="N30" t="s">
        <v>39</v>
      </c>
      <c r="P30" t="s">
        <v>154</v>
      </c>
      <c r="Q30" t="b">
        <v>1</v>
      </c>
      <c r="S30" t="str">
        <f>"9780310720997"</f>
        <v>9780310720997</v>
      </c>
      <c r="T30" t="str">
        <f>"9780310756705"</f>
        <v>9780310756705</v>
      </c>
      <c r="U30" t="b">
        <v>0</v>
      </c>
      <c r="W30" t="b">
        <v>0</v>
      </c>
    </row>
    <row r="31" spans="1:23" x14ac:dyDescent="0.3">
      <c r="A31">
        <v>3150802</v>
      </c>
      <c r="B31">
        <v>17.73</v>
      </c>
      <c r="C31" t="s">
        <v>155</v>
      </c>
      <c r="E31" t="s">
        <v>23</v>
      </c>
      <c r="F31" t="s">
        <v>28</v>
      </c>
      <c r="G31">
        <v>2016</v>
      </c>
      <c r="H31" t="s">
        <v>41</v>
      </c>
      <c r="K31" t="s">
        <v>25</v>
      </c>
      <c r="L31" t="s">
        <v>145</v>
      </c>
      <c r="M31" t="b">
        <v>1</v>
      </c>
      <c r="N31" t="s">
        <v>35</v>
      </c>
      <c r="P31" t="s">
        <v>36</v>
      </c>
      <c r="Q31" t="b">
        <v>1</v>
      </c>
      <c r="T31" t="str">
        <f>"9780310756651"</f>
        <v>9780310756651</v>
      </c>
      <c r="U31" t="b">
        <v>0</v>
      </c>
      <c r="W31" t="b">
        <v>0</v>
      </c>
    </row>
    <row r="32" spans="1:23" x14ac:dyDescent="0.3">
      <c r="A32">
        <v>3150801</v>
      </c>
      <c r="B32">
        <v>13.77</v>
      </c>
      <c r="C32" t="s">
        <v>156</v>
      </c>
      <c r="E32" t="s">
        <v>23</v>
      </c>
      <c r="F32" t="s">
        <v>28</v>
      </c>
      <c r="G32">
        <v>2016</v>
      </c>
      <c r="H32" t="s">
        <v>153</v>
      </c>
      <c r="K32" t="s">
        <v>25</v>
      </c>
      <c r="L32" t="s">
        <v>26</v>
      </c>
      <c r="M32" t="b">
        <v>1</v>
      </c>
      <c r="N32" t="s">
        <v>35</v>
      </c>
      <c r="P32" t="s">
        <v>36</v>
      </c>
      <c r="Q32" t="b">
        <v>1</v>
      </c>
      <c r="S32" t="str">
        <f>"9780310722861"</f>
        <v>9780310722861</v>
      </c>
      <c r="T32" t="str">
        <f>"9780310756606"</f>
        <v>9780310756606</v>
      </c>
      <c r="U32" t="b">
        <v>0</v>
      </c>
      <c r="W32" t="b">
        <v>0</v>
      </c>
    </row>
    <row r="33" spans="1:23" x14ac:dyDescent="0.3">
      <c r="A33">
        <v>3150800</v>
      </c>
      <c r="B33">
        <v>37.92</v>
      </c>
      <c r="C33" t="s">
        <v>157</v>
      </c>
      <c r="E33" t="s">
        <v>23</v>
      </c>
      <c r="F33" t="s">
        <v>28</v>
      </c>
      <c r="G33">
        <v>2016</v>
      </c>
      <c r="H33" t="s">
        <v>34</v>
      </c>
      <c r="K33" t="s">
        <v>25</v>
      </c>
      <c r="L33" t="s">
        <v>26</v>
      </c>
      <c r="M33" t="b">
        <v>1</v>
      </c>
      <c r="N33" t="s">
        <v>39</v>
      </c>
      <c r="P33" t="s">
        <v>36</v>
      </c>
      <c r="Q33" t="b">
        <v>1</v>
      </c>
      <c r="S33" t="str">
        <f>"9780310720102"</f>
        <v>9780310720102</v>
      </c>
      <c r="T33" t="str">
        <f>"9780310756330"</f>
        <v>9780310756330</v>
      </c>
      <c r="U33" t="b">
        <v>0</v>
      </c>
      <c r="W33" t="b">
        <v>0</v>
      </c>
    </row>
    <row r="34" spans="1:23" x14ac:dyDescent="0.3">
      <c r="A34">
        <v>3150799</v>
      </c>
      <c r="B34">
        <v>17.73</v>
      </c>
      <c r="C34" t="s">
        <v>158</v>
      </c>
      <c r="E34" t="s">
        <v>23</v>
      </c>
      <c r="F34" t="s">
        <v>28</v>
      </c>
      <c r="G34">
        <v>2016</v>
      </c>
      <c r="H34" t="s">
        <v>41</v>
      </c>
      <c r="K34" t="s">
        <v>25</v>
      </c>
      <c r="L34" t="s">
        <v>145</v>
      </c>
      <c r="M34" t="b">
        <v>1</v>
      </c>
      <c r="N34" t="s">
        <v>35</v>
      </c>
      <c r="P34" t="s">
        <v>36</v>
      </c>
      <c r="Q34" t="b">
        <v>1</v>
      </c>
      <c r="T34" t="str">
        <f>"9780310756347"</f>
        <v>9780310756347</v>
      </c>
      <c r="U34" t="b">
        <v>0</v>
      </c>
      <c r="W34" t="b">
        <v>0</v>
      </c>
    </row>
    <row r="35" spans="1:23" x14ac:dyDescent="0.3">
      <c r="A35">
        <v>3150798</v>
      </c>
      <c r="B35">
        <v>17.73</v>
      </c>
      <c r="C35" t="s">
        <v>159</v>
      </c>
      <c r="E35" t="s">
        <v>23</v>
      </c>
      <c r="F35" t="s">
        <v>28</v>
      </c>
      <c r="G35">
        <v>2016</v>
      </c>
      <c r="H35" t="s">
        <v>41</v>
      </c>
      <c r="K35" t="s">
        <v>25</v>
      </c>
      <c r="L35" t="s">
        <v>145</v>
      </c>
      <c r="M35" t="b">
        <v>1</v>
      </c>
      <c r="N35" t="s">
        <v>35</v>
      </c>
      <c r="P35" t="s">
        <v>36</v>
      </c>
      <c r="Q35" t="b">
        <v>1</v>
      </c>
      <c r="T35" t="str">
        <f>"9780310756316"</f>
        <v>9780310756316</v>
      </c>
      <c r="U35" t="b">
        <v>0</v>
      </c>
      <c r="W35" t="b">
        <v>0</v>
      </c>
    </row>
    <row r="36" spans="1:23" x14ac:dyDescent="0.3">
      <c r="A36">
        <v>3150797</v>
      </c>
      <c r="B36">
        <v>24.12</v>
      </c>
      <c r="C36" t="s">
        <v>160</v>
      </c>
      <c r="E36" t="s">
        <v>23</v>
      </c>
      <c r="F36" t="s">
        <v>28</v>
      </c>
      <c r="G36">
        <v>2016</v>
      </c>
      <c r="H36" t="s">
        <v>41</v>
      </c>
      <c r="K36" t="s">
        <v>25</v>
      </c>
      <c r="L36" t="s">
        <v>26</v>
      </c>
      <c r="M36" t="b">
        <v>1</v>
      </c>
      <c r="N36" t="s">
        <v>35</v>
      </c>
      <c r="P36" t="s">
        <v>36</v>
      </c>
      <c r="Q36" t="b">
        <v>1</v>
      </c>
      <c r="S36" t="str">
        <f>"9780310719397"</f>
        <v>9780310719397</v>
      </c>
      <c r="T36" t="str">
        <f>"9780310756293"</f>
        <v>9780310756293</v>
      </c>
      <c r="U36" t="b">
        <v>0</v>
      </c>
      <c r="W36" t="b">
        <v>0</v>
      </c>
    </row>
    <row r="37" spans="1:23" x14ac:dyDescent="0.3">
      <c r="A37">
        <v>3150796</v>
      </c>
      <c r="B37">
        <v>17.22</v>
      </c>
      <c r="C37" t="s">
        <v>161</v>
      </c>
      <c r="E37" t="s">
        <v>23</v>
      </c>
      <c r="F37" t="s">
        <v>28</v>
      </c>
      <c r="G37">
        <v>2016</v>
      </c>
      <c r="H37" t="s">
        <v>162</v>
      </c>
      <c r="K37" t="s">
        <v>25</v>
      </c>
      <c r="L37" t="s">
        <v>145</v>
      </c>
      <c r="M37" t="b">
        <v>1</v>
      </c>
      <c r="N37" t="s">
        <v>39</v>
      </c>
      <c r="P37" t="s">
        <v>36</v>
      </c>
      <c r="Q37" t="b">
        <v>1</v>
      </c>
      <c r="S37" t="str">
        <f>"9780310712510"</f>
        <v>9780310712510</v>
      </c>
      <c r="T37" t="str">
        <f>"9780310756125"</f>
        <v>9780310756125</v>
      </c>
      <c r="U37" t="b">
        <v>0</v>
      </c>
      <c r="W37" t="b">
        <v>0</v>
      </c>
    </row>
    <row r="38" spans="1:23" x14ac:dyDescent="0.3">
      <c r="A38">
        <v>3150795</v>
      </c>
      <c r="B38">
        <v>37.92</v>
      </c>
      <c r="C38" t="s">
        <v>163</v>
      </c>
      <c r="E38" t="s">
        <v>23</v>
      </c>
      <c r="F38" t="s">
        <v>28</v>
      </c>
      <c r="G38">
        <v>2016</v>
      </c>
      <c r="H38" t="s">
        <v>34</v>
      </c>
      <c r="K38" t="s">
        <v>25</v>
      </c>
      <c r="L38" t="s">
        <v>26</v>
      </c>
      <c r="M38" t="b">
        <v>1</v>
      </c>
      <c r="N38" t="s">
        <v>39</v>
      </c>
      <c r="P38" t="s">
        <v>36</v>
      </c>
      <c r="Q38" t="b">
        <v>1</v>
      </c>
      <c r="S38" t="str">
        <f>"9780310725916"</f>
        <v>9780310725916</v>
      </c>
      <c r="T38" t="str">
        <f>"9780310755951"</f>
        <v>9780310755951</v>
      </c>
      <c r="U38" t="b">
        <v>0</v>
      </c>
      <c r="W38" t="b">
        <v>0</v>
      </c>
    </row>
    <row r="39" spans="1:23" x14ac:dyDescent="0.3">
      <c r="A39">
        <v>3150794</v>
      </c>
      <c r="B39">
        <v>13.77</v>
      </c>
      <c r="C39" t="s">
        <v>164</v>
      </c>
      <c r="E39" t="s">
        <v>23</v>
      </c>
      <c r="F39" t="s">
        <v>28</v>
      </c>
      <c r="G39">
        <v>2016</v>
      </c>
      <c r="H39" t="s">
        <v>34</v>
      </c>
      <c r="K39" t="s">
        <v>25</v>
      </c>
      <c r="L39" t="s">
        <v>145</v>
      </c>
      <c r="M39" t="b">
        <v>1</v>
      </c>
      <c r="N39" t="s">
        <v>39</v>
      </c>
      <c r="P39" t="s">
        <v>36</v>
      </c>
      <c r="Q39" t="b">
        <v>1</v>
      </c>
      <c r="S39" t="str">
        <f>"9780310712534"</f>
        <v>9780310712534</v>
      </c>
      <c r="T39" t="str">
        <f>"9780310756026"</f>
        <v>9780310756026</v>
      </c>
      <c r="U39" t="b">
        <v>0</v>
      </c>
      <c r="W39" t="b">
        <v>0</v>
      </c>
    </row>
    <row r="40" spans="1:23" x14ac:dyDescent="0.3">
      <c r="A40">
        <v>3150793</v>
      </c>
      <c r="B40">
        <v>17.22</v>
      </c>
      <c r="C40" t="s">
        <v>165</v>
      </c>
      <c r="E40" t="s">
        <v>23</v>
      </c>
      <c r="F40" t="s">
        <v>28</v>
      </c>
      <c r="G40">
        <v>2016</v>
      </c>
      <c r="H40" t="s">
        <v>34</v>
      </c>
      <c r="K40" t="s">
        <v>25</v>
      </c>
      <c r="L40" t="s">
        <v>26</v>
      </c>
      <c r="M40" t="b">
        <v>1</v>
      </c>
      <c r="N40" t="s">
        <v>39</v>
      </c>
      <c r="P40" t="s">
        <v>36</v>
      </c>
      <c r="Q40" t="b">
        <v>1</v>
      </c>
      <c r="S40" t="str">
        <f>"9780310712565"</f>
        <v>9780310712565</v>
      </c>
      <c r="T40" t="str">
        <f>"9780310755920"</f>
        <v>9780310755920</v>
      </c>
      <c r="U40" t="b">
        <v>0</v>
      </c>
      <c r="W40" t="b">
        <v>0</v>
      </c>
    </row>
    <row r="41" spans="1:23" x14ac:dyDescent="0.3">
      <c r="A41">
        <v>3150792</v>
      </c>
      <c r="B41">
        <v>17.22</v>
      </c>
      <c r="C41" t="s">
        <v>166</v>
      </c>
      <c r="E41" t="s">
        <v>23</v>
      </c>
      <c r="F41" t="s">
        <v>28</v>
      </c>
      <c r="G41">
        <v>2015</v>
      </c>
      <c r="H41" t="s">
        <v>34</v>
      </c>
      <c r="K41" t="s">
        <v>25</v>
      </c>
      <c r="L41" t="s">
        <v>26</v>
      </c>
      <c r="M41" t="b">
        <v>1</v>
      </c>
      <c r="N41" t="s">
        <v>39</v>
      </c>
      <c r="P41" t="s">
        <v>36</v>
      </c>
      <c r="Q41" t="b">
        <v>1</v>
      </c>
      <c r="S41" t="str">
        <f>"9780310720843"</f>
        <v>9780310720843</v>
      </c>
      <c r="T41" t="str">
        <f>"9780310737254"</f>
        <v>9780310737254</v>
      </c>
      <c r="U41" t="b">
        <v>0</v>
      </c>
      <c r="W41" t="b">
        <v>0</v>
      </c>
    </row>
    <row r="42" spans="1:23" x14ac:dyDescent="0.3">
      <c r="A42">
        <v>3150727</v>
      </c>
      <c r="B42">
        <v>62.07</v>
      </c>
      <c r="C42" t="s">
        <v>167</v>
      </c>
      <c r="E42" t="s">
        <v>23</v>
      </c>
      <c r="F42" t="s">
        <v>28</v>
      </c>
      <c r="G42">
        <v>2022</v>
      </c>
      <c r="H42" t="s">
        <v>168</v>
      </c>
      <c r="K42" t="s">
        <v>25</v>
      </c>
      <c r="L42" t="s">
        <v>26</v>
      </c>
      <c r="M42" t="b">
        <v>1</v>
      </c>
      <c r="N42" t="s">
        <v>169</v>
      </c>
      <c r="Q42" t="b">
        <v>0</v>
      </c>
      <c r="S42" t="str">
        <f>"9780310771234"</f>
        <v>9780310771234</v>
      </c>
      <c r="T42" t="str">
        <f>"9780310771265"</f>
        <v>9780310771265</v>
      </c>
      <c r="U42" t="b">
        <v>0</v>
      </c>
      <c r="W42" t="b">
        <v>0</v>
      </c>
    </row>
    <row r="43" spans="1:23" x14ac:dyDescent="0.3">
      <c r="A43">
        <v>3150723</v>
      </c>
      <c r="B43">
        <v>62.07</v>
      </c>
      <c r="C43" t="s">
        <v>170</v>
      </c>
      <c r="D43" t="s">
        <v>171</v>
      </c>
      <c r="E43" t="s">
        <v>23</v>
      </c>
      <c r="F43" t="s">
        <v>28</v>
      </c>
      <c r="G43">
        <v>2022</v>
      </c>
      <c r="H43" t="s">
        <v>172</v>
      </c>
      <c r="K43" t="s">
        <v>25</v>
      </c>
      <c r="L43" t="s">
        <v>26</v>
      </c>
      <c r="M43" t="b">
        <v>1</v>
      </c>
      <c r="N43" t="s">
        <v>44</v>
      </c>
      <c r="Q43" t="b">
        <v>1</v>
      </c>
      <c r="S43" t="str">
        <f>"9780310734093"</f>
        <v>9780310734093</v>
      </c>
      <c r="T43" t="str">
        <f>"9780310734109"</f>
        <v>9780310734109</v>
      </c>
      <c r="U43" t="b">
        <v>0</v>
      </c>
      <c r="W43" t="b">
        <v>0</v>
      </c>
    </row>
    <row r="44" spans="1:23" x14ac:dyDescent="0.3">
      <c r="A44">
        <v>3150718</v>
      </c>
      <c r="B44">
        <v>68.97</v>
      </c>
      <c r="C44" t="s">
        <v>173</v>
      </c>
      <c r="D44" t="s">
        <v>174</v>
      </c>
      <c r="E44" t="s">
        <v>23</v>
      </c>
      <c r="F44" t="s">
        <v>28</v>
      </c>
      <c r="G44">
        <v>2016</v>
      </c>
      <c r="H44" t="s">
        <v>75</v>
      </c>
      <c r="K44" t="s">
        <v>25</v>
      </c>
      <c r="L44" t="s">
        <v>145</v>
      </c>
      <c r="M44" t="b">
        <v>1</v>
      </c>
      <c r="N44" t="s">
        <v>175</v>
      </c>
      <c r="Q44" t="b">
        <v>0</v>
      </c>
      <c r="S44" t="str">
        <f>"9780310727408"</f>
        <v>9780310727408</v>
      </c>
      <c r="T44" t="str">
        <f>"9780310754992"</f>
        <v>9780310754992</v>
      </c>
      <c r="U44" t="b">
        <v>0</v>
      </c>
      <c r="W44" t="b">
        <v>0</v>
      </c>
    </row>
    <row r="45" spans="1:23" x14ac:dyDescent="0.3">
      <c r="A45">
        <v>3150717</v>
      </c>
      <c r="B45">
        <v>14.18</v>
      </c>
      <c r="C45" t="s">
        <v>176</v>
      </c>
      <c r="E45" t="s">
        <v>23</v>
      </c>
      <c r="F45" t="s">
        <v>28</v>
      </c>
      <c r="G45">
        <v>2015</v>
      </c>
      <c r="H45" t="s">
        <v>34</v>
      </c>
      <c r="K45" t="s">
        <v>25</v>
      </c>
      <c r="L45" t="s">
        <v>26</v>
      </c>
      <c r="M45" t="b">
        <v>1</v>
      </c>
      <c r="N45" t="s">
        <v>39</v>
      </c>
      <c r="P45" t="s">
        <v>36</v>
      </c>
      <c r="Q45" t="b">
        <v>1</v>
      </c>
      <c r="T45" t="str">
        <f>"9780310737278"</f>
        <v>9780310737278</v>
      </c>
      <c r="U45" t="b">
        <v>0</v>
      </c>
      <c r="W45" t="b">
        <v>0</v>
      </c>
    </row>
    <row r="46" spans="1:23" x14ac:dyDescent="0.3">
      <c r="A46">
        <v>3150716</v>
      </c>
      <c r="B46">
        <v>17.73</v>
      </c>
      <c r="C46" t="s">
        <v>177</v>
      </c>
      <c r="D46" t="s">
        <v>143</v>
      </c>
      <c r="E46" t="s">
        <v>23</v>
      </c>
      <c r="F46" t="s">
        <v>28</v>
      </c>
      <c r="G46">
        <v>2012</v>
      </c>
      <c r="H46" t="s">
        <v>144</v>
      </c>
      <c r="K46" t="s">
        <v>25</v>
      </c>
      <c r="L46" t="s">
        <v>145</v>
      </c>
      <c r="M46" t="b">
        <v>1</v>
      </c>
      <c r="N46" t="s">
        <v>146</v>
      </c>
      <c r="P46" t="s">
        <v>147</v>
      </c>
      <c r="Q46" t="b">
        <v>0</v>
      </c>
      <c r="T46" t="str">
        <f>"9780310733485"</f>
        <v>9780310733485</v>
      </c>
      <c r="U46" t="b">
        <v>0</v>
      </c>
      <c r="W46" t="b">
        <v>0</v>
      </c>
    </row>
    <row r="47" spans="1:23" x14ac:dyDescent="0.3">
      <c r="A47">
        <v>3146431</v>
      </c>
      <c r="B47">
        <v>103.02</v>
      </c>
      <c r="C47" t="s">
        <v>178</v>
      </c>
      <c r="E47" t="s">
        <v>23</v>
      </c>
      <c r="F47" t="s">
        <v>106</v>
      </c>
      <c r="G47">
        <v>2022</v>
      </c>
      <c r="H47" t="s">
        <v>179</v>
      </c>
      <c r="K47" t="s">
        <v>25</v>
      </c>
      <c r="L47" t="s">
        <v>26</v>
      </c>
      <c r="M47" t="b">
        <v>1</v>
      </c>
      <c r="N47" t="s">
        <v>180</v>
      </c>
      <c r="P47" t="s">
        <v>181</v>
      </c>
      <c r="Q47" t="b">
        <v>0</v>
      </c>
      <c r="T47" t="str">
        <f>"9780310144731"</f>
        <v>9780310144731</v>
      </c>
      <c r="U47" t="b">
        <v>0</v>
      </c>
      <c r="W47" t="b">
        <v>0</v>
      </c>
    </row>
    <row r="48" spans="1:23" x14ac:dyDescent="0.3">
      <c r="A48">
        <v>3146430</v>
      </c>
      <c r="B48">
        <v>106.57</v>
      </c>
      <c r="C48" t="s">
        <v>182</v>
      </c>
      <c r="D48" t="s">
        <v>183</v>
      </c>
      <c r="E48" t="s">
        <v>23</v>
      </c>
      <c r="F48" t="s">
        <v>106</v>
      </c>
      <c r="G48">
        <v>2022</v>
      </c>
      <c r="H48" t="s">
        <v>179</v>
      </c>
      <c r="K48" t="s">
        <v>25</v>
      </c>
      <c r="L48" t="s">
        <v>26</v>
      </c>
      <c r="M48" t="b">
        <v>1</v>
      </c>
      <c r="N48" t="s">
        <v>184</v>
      </c>
      <c r="P48" t="s">
        <v>181</v>
      </c>
      <c r="Q48" t="b">
        <v>0</v>
      </c>
      <c r="T48" t="str">
        <f>"9780310144755"</f>
        <v>9780310144755</v>
      </c>
      <c r="U48" t="b">
        <v>0</v>
      </c>
      <c r="W48" t="b">
        <v>0</v>
      </c>
    </row>
    <row r="49" spans="1:23" x14ac:dyDescent="0.3">
      <c r="A49">
        <v>3146429</v>
      </c>
      <c r="B49">
        <v>106.57</v>
      </c>
      <c r="C49" t="s">
        <v>185</v>
      </c>
      <c r="E49" t="s">
        <v>23</v>
      </c>
      <c r="F49" t="s">
        <v>106</v>
      </c>
      <c r="G49">
        <v>2022</v>
      </c>
      <c r="H49" t="s">
        <v>179</v>
      </c>
      <c r="K49" t="s">
        <v>25</v>
      </c>
      <c r="L49" t="s">
        <v>26</v>
      </c>
      <c r="M49" t="b">
        <v>1</v>
      </c>
      <c r="N49" t="s">
        <v>180</v>
      </c>
      <c r="P49" t="s">
        <v>181</v>
      </c>
      <c r="Q49" t="b">
        <v>0</v>
      </c>
      <c r="T49" t="str">
        <f>"9780310144748"</f>
        <v>9780310144748</v>
      </c>
      <c r="U49" t="b">
        <v>0</v>
      </c>
      <c r="W49" t="b">
        <v>0</v>
      </c>
    </row>
    <row r="50" spans="1:23" x14ac:dyDescent="0.3">
      <c r="A50">
        <v>3146428</v>
      </c>
      <c r="B50">
        <v>113.68</v>
      </c>
      <c r="C50" t="s">
        <v>186</v>
      </c>
      <c r="D50" t="s">
        <v>187</v>
      </c>
      <c r="E50" t="s">
        <v>23</v>
      </c>
      <c r="F50" t="s">
        <v>106</v>
      </c>
      <c r="G50">
        <v>2022</v>
      </c>
      <c r="H50" t="s">
        <v>188</v>
      </c>
      <c r="K50" t="s">
        <v>25</v>
      </c>
      <c r="L50" t="s">
        <v>26</v>
      </c>
      <c r="M50" t="b">
        <v>1</v>
      </c>
      <c r="N50" t="s">
        <v>189</v>
      </c>
      <c r="P50" t="s">
        <v>181</v>
      </c>
      <c r="Q50" t="b">
        <v>0</v>
      </c>
      <c r="T50" t="str">
        <f>"9780310144762"</f>
        <v>9780310144762</v>
      </c>
      <c r="U50" t="b">
        <v>0</v>
      </c>
      <c r="W50" t="b">
        <v>0</v>
      </c>
    </row>
    <row r="51" spans="1:23" x14ac:dyDescent="0.3">
      <c r="A51">
        <v>3145535</v>
      </c>
      <c r="B51">
        <v>62.07</v>
      </c>
      <c r="C51" t="s">
        <v>190</v>
      </c>
      <c r="D51" t="s">
        <v>191</v>
      </c>
      <c r="E51" t="s">
        <v>23</v>
      </c>
      <c r="F51" t="s">
        <v>28</v>
      </c>
      <c r="G51">
        <v>2019</v>
      </c>
      <c r="H51" t="s">
        <v>192</v>
      </c>
      <c r="K51" t="s">
        <v>25</v>
      </c>
      <c r="L51" t="s">
        <v>26</v>
      </c>
      <c r="M51" t="b">
        <v>1</v>
      </c>
      <c r="N51" t="s">
        <v>193</v>
      </c>
      <c r="Q51" t="b">
        <v>1</v>
      </c>
      <c r="S51" t="str">
        <f>"9780310729617"</f>
        <v>9780310729617</v>
      </c>
      <c r="T51" t="str">
        <f>"9780310764441"</f>
        <v>9780310764441</v>
      </c>
      <c r="U51" t="b">
        <v>0</v>
      </c>
      <c r="W51" t="b">
        <v>0</v>
      </c>
    </row>
    <row r="52" spans="1:23" x14ac:dyDescent="0.3">
      <c r="A52">
        <v>3145534</v>
      </c>
      <c r="B52">
        <v>65.52</v>
      </c>
      <c r="C52" t="s">
        <v>194</v>
      </c>
      <c r="D52" t="s">
        <v>195</v>
      </c>
      <c r="E52" t="s">
        <v>23</v>
      </c>
      <c r="F52" t="s">
        <v>28</v>
      </c>
      <c r="G52">
        <v>2019</v>
      </c>
      <c r="H52" t="s">
        <v>196</v>
      </c>
      <c r="K52" t="s">
        <v>25</v>
      </c>
      <c r="L52" t="s">
        <v>26</v>
      </c>
      <c r="M52" t="b">
        <v>1</v>
      </c>
      <c r="N52" t="s">
        <v>197</v>
      </c>
      <c r="Q52" t="b">
        <v>1</v>
      </c>
      <c r="S52" t="str">
        <f>"9780310765936"</f>
        <v>9780310765936</v>
      </c>
      <c r="T52" t="str">
        <f>"9780310765981"</f>
        <v>9780310765981</v>
      </c>
      <c r="U52" t="b">
        <v>0</v>
      </c>
      <c r="W52" t="b">
        <v>0</v>
      </c>
    </row>
    <row r="53" spans="1:23" x14ac:dyDescent="0.3">
      <c r="A53">
        <v>3145533</v>
      </c>
      <c r="B53">
        <v>62.07</v>
      </c>
      <c r="C53" t="s">
        <v>198</v>
      </c>
      <c r="E53" t="s">
        <v>23</v>
      </c>
      <c r="F53" t="s">
        <v>28</v>
      </c>
      <c r="G53">
        <v>2019</v>
      </c>
      <c r="H53" t="s">
        <v>192</v>
      </c>
      <c r="K53" t="s">
        <v>25</v>
      </c>
      <c r="L53" t="s">
        <v>26</v>
      </c>
      <c r="M53" t="b">
        <v>1</v>
      </c>
      <c r="N53" t="s">
        <v>44</v>
      </c>
      <c r="P53" t="s">
        <v>199</v>
      </c>
      <c r="Q53" t="b">
        <v>1</v>
      </c>
      <c r="S53" t="str">
        <f>"9780310767732"</f>
        <v>9780310767732</v>
      </c>
      <c r="T53" t="str">
        <f>"9780310767794"</f>
        <v>9780310767794</v>
      </c>
      <c r="U53" t="b">
        <v>0</v>
      </c>
      <c r="W53" t="b">
        <v>0</v>
      </c>
    </row>
    <row r="54" spans="1:23" x14ac:dyDescent="0.3">
      <c r="A54">
        <v>3145532</v>
      </c>
      <c r="B54">
        <v>34.47</v>
      </c>
      <c r="C54" t="s">
        <v>200</v>
      </c>
      <c r="E54" t="s">
        <v>23</v>
      </c>
      <c r="F54" t="s">
        <v>28</v>
      </c>
      <c r="G54">
        <v>2020</v>
      </c>
      <c r="H54" t="s">
        <v>201</v>
      </c>
      <c r="K54" t="s">
        <v>25</v>
      </c>
      <c r="L54" t="s">
        <v>26</v>
      </c>
      <c r="M54" t="b">
        <v>1</v>
      </c>
      <c r="N54" t="s">
        <v>44</v>
      </c>
      <c r="Q54" t="b">
        <v>1</v>
      </c>
      <c r="S54" t="str">
        <f>"9780310768418"</f>
        <v>9780310768418</v>
      </c>
      <c r="T54" t="str">
        <f>"9780310768470"</f>
        <v>9780310768470</v>
      </c>
      <c r="U54" t="b">
        <v>0</v>
      </c>
      <c r="W54" t="b">
        <v>0</v>
      </c>
    </row>
    <row r="55" spans="1:23" x14ac:dyDescent="0.3">
      <c r="A55">
        <v>3145531</v>
      </c>
      <c r="B55">
        <v>58.62</v>
      </c>
      <c r="C55" t="s">
        <v>202</v>
      </c>
      <c r="D55" t="s">
        <v>203</v>
      </c>
      <c r="E55" t="s">
        <v>23</v>
      </c>
      <c r="F55" t="s">
        <v>28</v>
      </c>
      <c r="G55">
        <v>2019</v>
      </c>
      <c r="H55" t="s">
        <v>204</v>
      </c>
      <c r="K55" t="s">
        <v>25</v>
      </c>
      <c r="L55" t="s">
        <v>26</v>
      </c>
      <c r="M55" t="b">
        <v>1</v>
      </c>
      <c r="N55" t="s">
        <v>205</v>
      </c>
      <c r="Q55" t="b">
        <v>0</v>
      </c>
      <c r="S55" t="str">
        <f>"9780310769477"</f>
        <v>9780310769477</v>
      </c>
      <c r="T55" t="str">
        <f>"9780310769491"</f>
        <v>9780310769491</v>
      </c>
      <c r="U55" t="b">
        <v>0</v>
      </c>
      <c r="W55" t="b">
        <v>0</v>
      </c>
    </row>
    <row r="56" spans="1:23" x14ac:dyDescent="0.3">
      <c r="A56">
        <v>3145530</v>
      </c>
      <c r="B56">
        <v>62.07</v>
      </c>
      <c r="C56" t="s">
        <v>206</v>
      </c>
      <c r="E56" t="s">
        <v>23</v>
      </c>
      <c r="F56" t="s">
        <v>28</v>
      </c>
      <c r="G56">
        <v>2020</v>
      </c>
      <c r="H56" t="s">
        <v>207</v>
      </c>
      <c r="K56" t="s">
        <v>25</v>
      </c>
      <c r="L56" t="s">
        <v>26</v>
      </c>
      <c r="M56" t="b">
        <v>1</v>
      </c>
      <c r="N56" t="s">
        <v>44</v>
      </c>
      <c r="Q56" t="b">
        <v>0</v>
      </c>
      <c r="S56" t="str">
        <f>"9780310767817"</f>
        <v>9780310767817</v>
      </c>
      <c r="T56" t="str">
        <f>"9780310767862"</f>
        <v>9780310767862</v>
      </c>
      <c r="U56" t="b">
        <v>0</v>
      </c>
      <c r="W56" t="b">
        <v>0</v>
      </c>
    </row>
    <row r="57" spans="1:23" x14ac:dyDescent="0.3">
      <c r="A57">
        <v>3145529</v>
      </c>
      <c r="B57">
        <v>58.62</v>
      </c>
      <c r="C57" t="s">
        <v>208</v>
      </c>
      <c r="D57" t="s">
        <v>209</v>
      </c>
      <c r="E57" t="s">
        <v>23</v>
      </c>
      <c r="F57" t="s">
        <v>28</v>
      </c>
      <c r="G57">
        <v>2014</v>
      </c>
      <c r="H57" t="s">
        <v>75</v>
      </c>
      <c r="K57" t="s">
        <v>25</v>
      </c>
      <c r="L57" t="s">
        <v>26</v>
      </c>
      <c r="M57" t="b">
        <v>1</v>
      </c>
      <c r="N57" t="s">
        <v>210</v>
      </c>
      <c r="P57" t="s">
        <v>208</v>
      </c>
      <c r="Q57" t="b">
        <v>0</v>
      </c>
      <c r="S57" t="str">
        <f>"9780310733843"</f>
        <v>9780310733843</v>
      </c>
      <c r="T57" t="str">
        <f>"9780310742616"</f>
        <v>9780310742616</v>
      </c>
      <c r="U57" t="b">
        <v>0</v>
      </c>
      <c r="W57" t="b">
        <v>0</v>
      </c>
    </row>
    <row r="58" spans="1:23" x14ac:dyDescent="0.3">
      <c r="A58">
        <v>3145528</v>
      </c>
      <c r="B58">
        <v>65.52</v>
      </c>
      <c r="C58" t="s">
        <v>211</v>
      </c>
      <c r="E58" t="s">
        <v>23</v>
      </c>
      <c r="F58" t="s">
        <v>28</v>
      </c>
      <c r="G58">
        <v>2021</v>
      </c>
      <c r="H58" t="s">
        <v>201</v>
      </c>
      <c r="K58" t="s">
        <v>25</v>
      </c>
      <c r="L58" t="s">
        <v>26</v>
      </c>
      <c r="M58" t="b">
        <v>1</v>
      </c>
      <c r="N58" t="s">
        <v>212</v>
      </c>
      <c r="Q58" t="b">
        <v>1</v>
      </c>
      <c r="S58" t="str">
        <f>"9780310769286"</f>
        <v>9780310769286</v>
      </c>
      <c r="T58" t="str">
        <f>"9780310769293"</f>
        <v>9780310769293</v>
      </c>
      <c r="U58" t="b">
        <v>0</v>
      </c>
      <c r="W58" t="b">
        <v>0</v>
      </c>
    </row>
    <row r="59" spans="1:23" x14ac:dyDescent="0.3">
      <c r="A59">
        <v>3145527</v>
      </c>
      <c r="B59">
        <v>44.82</v>
      </c>
      <c r="C59" t="s">
        <v>213</v>
      </c>
      <c r="E59" t="s">
        <v>23</v>
      </c>
      <c r="F59" t="s">
        <v>28</v>
      </c>
      <c r="G59">
        <v>2022</v>
      </c>
      <c r="H59" t="s">
        <v>214</v>
      </c>
      <c r="K59" t="s">
        <v>25</v>
      </c>
      <c r="L59" t="s">
        <v>26</v>
      </c>
      <c r="M59" t="b">
        <v>1</v>
      </c>
      <c r="N59" t="s">
        <v>44</v>
      </c>
      <c r="P59" t="s">
        <v>199</v>
      </c>
      <c r="Q59" t="b">
        <v>1</v>
      </c>
      <c r="S59" t="str">
        <f>"9780310751649"</f>
        <v>9780310751649</v>
      </c>
      <c r="T59" t="str">
        <f>"9780310751663"</f>
        <v>9780310751663</v>
      </c>
      <c r="U59" t="b">
        <v>0</v>
      </c>
      <c r="W59" t="b">
        <v>0</v>
      </c>
    </row>
    <row r="60" spans="1:23" x14ac:dyDescent="0.3">
      <c r="A60">
        <v>3145526</v>
      </c>
      <c r="B60">
        <v>58.62</v>
      </c>
      <c r="C60" t="s">
        <v>215</v>
      </c>
      <c r="D60" t="s">
        <v>216</v>
      </c>
      <c r="E60" t="s">
        <v>23</v>
      </c>
      <c r="F60" t="s">
        <v>28</v>
      </c>
      <c r="G60">
        <v>2022</v>
      </c>
      <c r="H60" t="s">
        <v>144</v>
      </c>
      <c r="K60" t="s">
        <v>25</v>
      </c>
      <c r="L60" t="s">
        <v>26</v>
      </c>
      <c r="M60" t="b">
        <v>1</v>
      </c>
      <c r="N60" t="s">
        <v>146</v>
      </c>
      <c r="P60" t="s">
        <v>146</v>
      </c>
      <c r="Q60" t="b">
        <v>0</v>
      </c>
      <c r="S60" t="str">
        <f>"9780310752806"</f>
        <v>9780310752806</v>
      </c>
      <c r="T60" t="str">
        <f>"9780310753315"</f>
        <v>9780310753315</v>
      </c>
      <c r="U60" t="b">
        <v>0</v>
      </c>
      <c r="W60" t="b">
        <v>0</v>
      </c>
    </row>
    <row r="61" spans="1:23" x14ac:dyDescent="0.3">
      <c r="A61">
        <v>3145525</v>
      </c>
      <c r="B61">
        <v>62.07</v>
      </c>
      <c r="C61" t="s">
        <v>217</v>
      </c>
      <c r="D61" t="s">
        <v>218</v>
      </c>
      <c r="E61" t="s">
        <v>23</v>
      </c>
      <c r="F61" t="s">
        <v>28</v>
      </c>
      <c r="G61">
        <v>2020</v>
      </c>
      <c r="H61" t="s">
        <v>219</v>
      </c>
      <c r="K61" t="s">
        <v>25</v>
      </c>
      <c r="L61" t="s">
        <v>26</v>
      </c>
      <c r="M61" t="b">
        <v>1</v>
      </c>
      <c r="N61" t="s">
        <v>220</v>
      </c>
      <c r="Q61" t="b">
        <v>1</v>
      </c>
      <c r="S61" t="str">
        <f>"9780310760863"</f>
        <v>9780310760863</v>
      </c>
      <c r="T61" t="str">
        <f>"9780310760870"</f>
        <v>9780310760870</v>
      </c>
      <c r="U61" t="b">
        <v>0</v>
      </c>
      <c r="W61" t="b">
        <v>0</v>
      </c>
    </row>
    <row r="62" spans="1:23" x14ac:dyDescent="0.3">
      <c r="A62">
        <v>3145524</v>
      </c>
      <c r="B62">
        <v>17.22</v>
      </c>
      <c r="C62" t="s">
        <v>221</v>
      </c>
      <c r="D62" t="s">
        <v>143</v>
      </c>
      <c r="E62" t="s">
        <v>23</v>
      </c>
      <c r="F62" t="s">
        <v>28</v>
      </c>
      <c r="G62">
        <v>2019</v>
      </c>
      <c r="H62" t="s">
        <v>222</v>
      </c>
      <c r="K62" t="s">
        <v>25</v>
      </c>
      <c r="L62" t="s">
        <v>26</v>
      </c>
      <c r="M62" t="b">
        <v>1</v>
      </c>
      <c r="N62" t="s">
        <v>146</v>
      </c>
      <c r="P62" t="s">
        <v>147</v>
      </c>
      <c r="Q62" t="b">
        <v>0</v>
      </c>
      <c r="S62" t="str">
        <f>"9780310760504"</f>
        <v>9780310760504</v>
      </c>
      <c r="T62" t="str">
        <f>"9780310760559"</f>
        <v>9780310760559</v>
      </c>
      <c r="U62" t="b">
        <v>0</v>
      </c>
      <c r="W62" t="b">
        <v>0</v>
      </c>
    </row>
    <row r="63" spans="1:23" x14ac:dyDescent="0.3">
      <c r="A63">
        <v>3145523</v>
      </c>
      <c r="B63">
        <v>17.22</v>
      </c>
      <c r="C63" t="s">
        <v>223</v>
      </c>
      <c r="D63" t="s">
        <v>143</v>
      </c>
      <c r="E63" t="s">
        <v>23</v>
      </c>
      <c r="F63" t="s">
        <v>28</v>
      </c>
      <c r="G63">
        <v>2019</v>
      </c>
      <c r="H63" t="s">
        <v>144</v>
      </c>
      <c r="K63" t="s">
        <v>25</v>
      </c>
      <c r="L63" t="s">
        <v>26</v>
      </c>
      <c r="M63" t="b">
        <v>1</v>
      </c>
      <c r="N63" t="s">
        <v>146</v>
      </c>
      <c r="P63" t="s">
        <v>147</v>
      </c>
      <c r="Q63" t="b">
        <v>0</v>
      </c>
      <c r="S63" t="str">
        <f>"9780310760481"</f>
        <v>9780310760481</v>
      </c>
      <c r="T63" t="str">
        <f>"9780310760528"</f>
        <v>9780310760528</v>
      </c>
      <c r="U63" t="b">
        <v>0</v>
      </c>
      <c r="W63" t="b">
        <v>0</v>
      </c>
    </row>
    <row r="64" spans="1:23" x14ac:dyDescent="0.3">
      <c r="A64">
        <v>3145522</v>
      </c>
      <c r="B64">
        <v>62.07</v>
      </c>
      <c r="C64" t="s">
        <v>224</v>
      </c>
      <c r="D64" t="s">
        <v>225</v>
      </c>
      <c r="E64" t="s">
        <v>23</v>
      </c>
      <c r="F64" t="s">
        <v>28</v>
      </c>
      <c r="G64">
        <v>2019</v>
      </c>
      <c r="H64" t="s">
        <v>226</v>
      </c>
      <c r="K64" t="s">
        <v>25</v>
      </c>
      <c r="L64" t="s">
        <v>26</v>
      </c>
      <c r="M64" t="b">
        <v>1</v>
      </c>
      <c r="N64" t="s">
        <v>227</v>
      </c>
      <c r="Q64" t="b">
        <v>1</v>
      </c>
      <c r="S64" t="str">
        <f>"9780310768234"</f>
        <v>9780310768234</v>
      </c>
      <c r="T64" t="str">
        <f>"9780310768241"</f>
        <v>9780310768241</v>
      </c>
      <c r="U64" t="b">
        <v>0</v>
      </c>
      <c r="W64" t="b">
        <v>0</v>
      </c>
    </row>
    <row r="65" spans="1:23" x14ac:dyDescent="0.3">
      <c r="A65">
        <v>3145521</v>
      </c>
      <c r="B65">
        <v>65.52</v>
      </c>
      <c r="C65" t="s">
        <v>228</v>
      </c>
      <c r="D65" t="s">
        <v>229</v>
      </c>
      <c r="E65" t="s">
        <v>23</v>
      </c>
      <c r="F65" t="s">
        <v>28</v>
      </c>
      <c r="G65">
        <v>2019</v>
      </c>
      <c r="H65" t="s">
        <v>230</v>
      </c>
      <c r="K65" t="s">
        <v>25</v>
      </c>
      <c r="L65" t="s">
        <v>26</v>
      </c>
      <c r="M65" t="b">
        <v>1</v>
      </c>
      <c r="N65" t="s">
        <v>231</v>
      </c>
      <c r="Q65" t="b">
        <v>1</v>
      </c>
      <c r="S65" t="str">
        <f>"9780310767855"</f>
        <v>9780310767855</v>
      </c>
      <c r="T65" t="str">
        <f>"9780310767664"</f>
        <v>9780310767664</v>
      </c>
      <c r="U65" t="b">
        <v>0</v>
      </c>
      <c r="W65" t="b">
        <v>0</v>
      </c>
    </row>
    <row r="66" spans="1:23" x14ac:dyDescent="0.3">
      <c r="A66">
        <v>3145520</v>
      </c>
      <c r="B66">
        <v>44.82</v>
      </c>
      <c r="C66" t="s">
        <v>232</v>
      </c>
      <c r="E66" t="s">
        <v>23</v>
      </c>
      <c r="F66" t="s">
        <v>28</v>
      </c>
      <c r="G66">
        <v>2019</v>
      </c>
      <c r="H66" t="s">
        <v>233</v>
      </c>
      <c r="K66" t="s">
        <v>25</v>
      </c>
      <c r="L66" t="s">
        <v>145</v>
      </c>
      <c r="M66" t="b">
        <v>1</v>
      </c>
      <c r="N66" t="s">
        <v>44</v>
      </c>
      <c r="P66" t="s">
        <v>234</v>
      </c>
      <c r="Q66" t="b">
        <v>0</v>
      </c>
      <c r="S66" t="str">
        <f>"9780310765363"</f>
        <v>9780310765363</v>
      </c>
      <c r="T66" t="str">
        <f>"9780310765325"</f>
        <v>9780310765325</v>
      </c>
      <c r="U66" t="b">
        <v>0</v>
      </c>
      <c r="W66" t="b">
        <v>0</v>
      </c>
    </row>
    <row r="67" spans="1:23" x14ac:dyDescent="0.3">
      <c r="A67">
        <v>3145519</v>
      </c>
      <c r="B67">
        <v>62.07</v>
      </c>
      <c r="C67" t="s">
        <v>235</v>
      </c>
      <c r="E67" t="s">
        <v>23</v>
      </c>
      <c r="F67" t="s">
        <v>28</v>
      </c>
      <c r="G67">
        <v>2018</v>
      </c>
      <c r="H67" t="s">
        <v>236</v>
      </c>
      <c r="K67" t="s">
        <v>25</v>
      </c>
      <c r="L67" t="s">
        <v>26</v>
      </c>
      <c r="M67" t="b">
        <v>1</v>
      </c>
      <c r="N67" t="s">
        <v>237</v>
      </c>
      <c r="Q67" t="b">
        <v>1</v>
      </c>
      <c r="S67" t="str">
        <f>"9780310762874"</f>
        <v>9780310762874</v>
      </c>
      <c r="T67" t="str">
        <f>"9780310762843"</f>
        <v>9780310762843</v>
      </c>
      <c r="U67" t="b">
        <v>0</v>
      </c>
      <c r="W67" t="b">
        <v>0</v>
      </c>
    </row>
    <row r="68" spans="1:23" x14ac:dyDescent="0.3">
      <c r="A68">
        <v>3145518</v>
      </c>
      <c r="B68">
        <v>17.22</v>
      </c>
      <c r="C68" t="s">
        <v>238</v>
      </c>
      <c r="D68" t="s">
        <v>143</v>
      </c>
      <c r="E68" t="s">
        <v>23</v>
      </c>
      <c r="F68" t="s">
        <v>28</v>
      </c>
      <c r="G68">
        <v>2018</v>
      </c>
      <c r="H68" t="s">
        <v>144</v>
      </c>
      <c r="K68" t="s">
        <v>25</v>
      </c>
      <c r="L68" t="s">
        <v>26</v>
      </c>
      <c r="M68" t="b">
        <v>1</v>
      </c>
      <c r="N68" t="s">
        <v>146</v>
      </c>
      <c r="P68" t="s">
        <v>147</v>
      </c>
      <c r="Q68" t="b">
        <v>0</v>
      </c>
      <c r="S68" t="str">
        <f>"9780310764786"</f>
        <v>9780310764786</v>
      </c>
      <c r="T68" t="str">
        <f>"9780310764731"</f>
        <v>9780310764731</v>
      </c>
      <c r="U68" t="b">
        <v>0</v>
      </c>
      <c r="W68" t="b">
        <v>0</v>
      </c>
    </row>
    <row r="69" spans="1:23" x14ac:dyDescent="0.3">
      <c r="A69">
        <v>3145517</v>
      </c>
      <c r="B69">
        <v>34.47</v>
      </c>
      <c r="C69" t="s">
        <v>239</v>
      </c>
      <c r="E69" t="s">
        <v>23</v>
      </c>
      <c r="F69" t="s">
        <v>28</v>
      </c>
      <c r="G69">
        <v>2018</v>
      </c>
      <c r="H69" t="s">
        <v>240</v>
      </c>
      <c r="K69" t="s">
        <v>25</v>
      </c>
      <c r="L69" t="s">
        <v>26</v>
      </c>
      <c r="M69" t="b">
        <v>1</v>
      </c>
      <c r="N69" t="s">
        <v>241</v>
      </c>
      <c r="Q69" t="b">
        <v>1</v>
      </c>
      <c r="S69" t="str">
        <f>"9780310764977"</f>
        <v>9780310764977</v>
      </c>
      <c r="T69" t="str">
        <f>"9780310764847"</f>
        <v>9780310764847</v>
      </c>
      <c r="U69" t="b">
        <v>0</v>
      </c>
      <c r="W69" t="b">
        <v>0</v>
      </c>
    </row>
    <row r="70" spans="1:23" x14ac:dyDescent="0.3">
      <c r="A70">
        <v>3145516</v>
      </c>
      <c r="B70">
        <v>24.84</v>
      </c>
      <c r="C70" t="s">
        <v>242</v>
      </c>
      <c r="D70" t="s">
        <v>93</v>
      </c>
      <c r="E70" t="s">
        <v>23</v>
      </c>
      <c r="F70" t="s">
        <v>28</v>
      </c>
      <c r="G70">
        <v>2018</v>
      </c>
      <c r="H70" t="s">
        <v>243</v>
      </c>
      <c r="K70" t="s">
        <v>25</v>
      </c>
      <c r="L70" t="s">
        <v>26</v>
      </c>
      <c r="M70" t="b">
        <v>1</v>
      </c>
      <c r="N70" t="s">
        <v>44</v>
      </c>
      <c r="P70" t="s">
        <v>244</v>
      </c>
      <c r="Q70" t="b">
        <v>1</v>
      </c>
      <c r="T70" t="str">
        <f>"9780310759027"</f>
        <v>9780310759027</v>
      </c>
      <c r="U70" t="b">
        <v>0</v>
      </c>
      <c r="W70" t="b">
        <v>0</v>
      </c>
    </row>
    <row r="71" spans="1:23" x14ac:dyDescent="0.3">
      <c r="A71">
        <v>3145515</v>
      </c>
      <c r="B71">
        <v>34.47</v>
      </c>
      <c r="C71" t="s">
        <v>245</v>
      </c>
      <c r="E71" t="s">
        <v>23</v>
      </c>
      <c r="F71" t="s">
        <v>28</v>
      </c>
      <c r="G71">
        <v>2018</v>
      </c>
      <c r="H71" t="s">
        <v>144</v>
      </c>
      <c r="K71" t="s">
        <v>25</v>
      </c>
      <c r="L71" t="s">
        <v>26</v>
      </c>
      <c r="M71" t="b">
        <v>1</v>
      </c>
      <c r="N71" t="s">
        <v>146</v>
      </c>
      <c r="P71" t="s">
        <v>146</v>
      </c>
      <c r="Q71" t="b">
        <v>0</v>
      </c>
      <c r="S71" t="str">
        <f>"9780310760030"</f>
        <v>9780310760030</v>
      </c>
      <c r="T71" t="str">
        <f>"9780310760061"</f>
        <v>9780310760061</v>
      </c>
      <c r="U71" t="b">
        <v>0</v>
      </c>
      <c r="W71" t="b">
        <v>0</v>
      </c>
    </row>
    <row r="72" spans="1:23" x14ac:dyDescent="0.3">
      <c r="A72">
        <v>3145514</v>
      </c>
      <c r="B72">
        <v>31.02</v>
      </c>
      <c r="C72" t="s">
        <v>246</v>
      </c>
      <c r="D72" t="s">
        <v>93</v>
      </c>
      <c r="E72" t="s">
        <v>23</v>
      </c>
      <c r="F72" t="s">
        <v>28</v>
      </c>
      <c r="G72">
        <v>2019</v>
      </c>
      <c r="H72" t="s">
        <v>34</v>
      </c>
      <c r="K72" t="s">
        <v>25</v>
      </c>
      <c r="L72" t="s">
        <v>26</v>
      </c>
      <c r="M72" t="b">
        <v>1</v>
      </c>
      <c r="N72" t="s">
        <v>44</v>
      </c>
      <c r="P72" t="s">
        <v>244</v>
      </c>
      <c r="Q72" t="b">
        <v>1</v>
      </c>
      <c r="S72" t="str">
        <f>"9780310759287"</f>
        <v>9780310759287</v>
      </c>
      <c r="T72" t="str">
        <f>"9780310759232"</f>
        <v>9780310759232</v>
      </c>
      <c r="U72" t="b">
        <v>0</v>
      </c>
      <c r="W72" t="b">
        <v>0</v>
      </c>
    </row>
    <row r="73" spans="1:23" x14ac:dyDescent="0.3">
      <c r="A73">
        <v>3145513</v>
      </c>
      <c r="B73">
        <v>62.07</v>
      </c>
      <c r="C73" t="s">
        <v>247</v>
      </c>
      <c r="E73" t="s">
        <v>23</v>
      </c>
      <c r="F73" t="s">
        <v>28</v>
      </c>
      <c r="G73">
        <v>2018</v>
      </c>
      <c r="H73" t="s">
        <v>192</v>
      </c>
      <c r="K73" t="s">
        <v>25</v>
      </c>
      <c r="L73" t="s">
        <v>26</v>
      </c>
      <c r="M73" t="b">
        <v>1</v>
      </c>
      <c r="N73" t="s">
        <v>248</v>
      </c>
      <c r="Q73" t="b">
        <v>1</v>
      </c>
      <c r="S73" t="str">
        <f>"9780310759003"</f>
        <v>9780310759003</v>
      </c>
      <c r="T73" t="str">
        <f>"9780310759089"</f>
        <v>9780310759089</v>
      </c>
      <c r="U73" t="b">
        <v>0</v>
      </c>
      <c r="W73" t="b">
        <v>0</v>
      </c>
    </row>
    <row r="74" spans="1:23" x14ac:dyDescent="0.3">
      <c r="A74">
        <v>3145512</v>
      </c>
      <c r="B74">
        <v>46.16</v>
      </c>
      <c r="C74" t="s">
        <v>249</v>
      </c>
      <c r="E74" t="s">
        <v>23</v>
      </c>
      <c r="F74" t="s">
        <v>28</v>
      </c>
      <c r="G74">
        <v>2018</v>
      </c>
      <c r="H74" t="s">
        <v>91</v>
      </c>
      <c r="K74" t="s">
        <v>25</v>
      </c>
      <c r="L74" t="s">
        <v>145</v>
      </c>
      <c r="M74" t="b">
        <v>1</v>
      </c>
      <c r="N74" t="s">
        <v>250</v>
      </c>
      <c r="Q74" t="b">
        <v>0</v>
      </c>
      <c r="T74" t="str">
        <f>"9780310750222"</f>
        <v>9780310750222</v>
      </c>
      <c r="U74" t="b">
        <v>0</v>
      </c>
      <c r="W74" t="b">
        <v>0</v>
      </c>
    </row>
    <row r="75" spans="1:23" x14ac:dyDescent="0.3">
      <c r="A75">
        <v>3145511</v>
      </c>
      <c r="B75">
        <v>13.77</v>
      </c>
      <c r="C75" t="s">
        <v>251</v>
      </c>
      <c r="E75" t="s">
        <v>23</v>
      </c>
      <c r="F75" t="s">
        <v>28</v>
      </c>
      <c r="G75">
        <v>2018</v>
      </c>
      <c r="H75" t="s">
        <v>252</v>
      </c>
      <c r="K75" t="s">
        <v>25</v>
      </c>
      <c r="L75" t="s">
        <v>26</v>
      </c>
      <c r="M75" t="b">
        <v>1</v>
      </c>
      <c r="N75" t="s">
        <v>146</v>
      </c>
      <c r="P75" t="s">
        <v>146</v>
      </c>
      <c r="Q75" t="b">
        <v>0</v>
      </c>
      <c r="S75" t="str">
        <f>"9780310763017"</f>
        <v>9780310763017</v>
      </c>
      <c r="T75" t="str">
        <f>"9780310763055"</f>
        <v>9780310763055</v>
      </c>
      <c r="U75" t="b">
        <v>0</v>
      </c>
      <c r="W75" t="b">
        <v>0</v>
      </c>
    </row>
    <row r="76" spans="1:23" x14ac:dyDescent="0.3">
      <c r="A76">
        <v>3145510</v>
      </c>
      <c r="B76">
        <v>58.62</v>
      </c>
      <c r="C76" t="s">
        <v>253</v>
      </c>
      <c r="E76" t="s">
        <v>23</v>
      </c>
      <c r="F76" t="s">
        <v>28</v>
      </c>
      <c r="G76">
        <v>2017</v>
      </c>
      <c r="H76" t="s">
        <v>141</v>
      </c>
      <c r="K76" t="s">
        <v>25</v>
      </c>
      <c r="L76" t="s">
        <v>26</v>
      </c>
      <c r="M76" t="b">
        <v>1</v>
      </c>
      <c r="N76" t="s">
        <v>146</v>
      </c>
      <c r="P76" t="s">
        <v>146</v>
      </c>
      <c r="Q76" t="b">
        <v>0</v>
      </c>
      <c r="S76" t="str">
        <f>"9780310763062"</f>
        <v>9780310763062</v>
      </c>
      <c r="T76" t="str">
        <f>"9780310763079"</f>
        <v>9780310763079</v>
      </c>
      <c r="U76" t="b">
        <v>0</v>
      </c>
      <c r="W76" t="b">
        <v>0</v>
      </c>
    </row>
    <row r="77" spans="1:23" x14ac:dyDescent="0.3">
      <c r="A77">
        <v>3145509</v>
      </c>
      <c r="B77">
        <v>28.39</v>
      </c>
      <c r="C77" t="s">
        <v>254</v>
      </c>
      <c r="E77" t="s">
        <v>23</v>
      </c>
      <c r="F77" t="s">
        <v>28</v>
      </c>
      <c r="G77">
        <v>2017</v>
      </c>
      <c r="H77" t="s">
        <v>168</v>
      </c>
      <c r="K77" t="s">
        <v>25</v>
      </c>
      <c r="L77" t="s">
        <v>26</v>
      </c>
      <c r="M77" t="b">
        <v>1</v>
      </c>
      <c r="N77" t="s">
        <v>255</v>
      </c>
      <c r="Q77" t="b">
        <v>1</v>
      </c>
      <c r="T77" t="str">
        <f>"9780310758884"</f>
        <v>9780310758884</v>
      </c>
      <c r="U77" t="b">
        <v>0</v>
      </c>
      <c r="W77" t="b">
        <v>0</v>
      </c>
    </row>
    <row r="78" spans="1:23" x14ac:dyDescent="0.3">
      <c r="A78">
        <v>3145508</v>
      </c>
      <c r="B78">
        <v>17.22</v>
      </c>
      <c r="C78" t="s">
        <v>256</v>
      </c>
      <c r="D78" t="s">
        <v>93</v>
      </c>
      <c r="E78" t="s">
        <v>23</v>
      </c>
      <c r="F78" t="s">
        <v>28</v>
      </c>
      <c r="G78">
        <v>2017</v>
      </c>
      <c r="H78" t="s">
        <v>153</v>
      </c>
      <c r="K78" t="s">
        <v>25</v>
      </c>
      <c r="L78" t="s">
        <v>26</v>
      </c>
      <c r="M78" t="b">
        <v>1</v>
      </c>
      <c r="N78" t="s">
        <v>35</v>
      </c>
      <c r="P78" t="s">
        <v>257</v>
      </c>
      <c r="Q78" t="b">
        <v>1</v>
      </c>
      <c r="S78" t="str">
        <f>"9780310760238"</f>
        <v>9780310760238</v>
      </c>
      <c r="T78" t="str">
        <f>"9780310760221"</f>
        <v>9780310760221</v>
      </c>
      <c r="U78" t="b">
        <v>0</v>
      </c>
      <c r="W78" t="b">
        <v>0</v>
      </c>
    </row>
    <row r="79" spans="1:23" x14ac:dyDescent="0.3">
      <c r="A79">
        <v>3145507</v>
      </c>
      <c r="B79">
        <v>31.02</v>
      </c>
      <c r="C79" t="s">
        <v>258</v>
      </c>
      <c r="D79" t="s">
        <v>93</v>
      </c>
      <c r="E79" t="s">
        <v>23</v>
      </c>
      <c r="F79" t="s">
        <v>28</v>
      </c>
      <c r="G79">
        <v>2017</v>
      </c>
      <c r="H79" t="s">
        <v>259</v>
      </c>
      <c r="K79" t="s">
        <v>25</v>
      </c>
      <c r="L79" t="s">
        <v>26</v>
      </c>
      <c r="M79" t="b">
        <v>1</v>
      </c>
      <c r="N79" t="s">
        <v>44</v>
      </c>
      <c r="P79" t="s">
        <v>244</v>
      </c>
      <c r="Q79" t="b">
        <v>1</v>
      </c>
      <c r="S79" t="str">
        <f>"9780310759225"</f>
        <v>9780310759225</v>
      </c>
      <c r="T79" t="str">
        <f>"9780310759218"</f>
        <v>9780310759218</v>
      </c>
      <c r="U79" t="b">
        <v>0</v>
      </c>
      <c r="W79" t="b">
        <v>0</v>
      </c>
    </row>
    <row r="80" spans="1:23" x14ac:dyDescent="0.3">
      <c r="A80">
        <v>3145506</v>
      </c>
      <c r="B80">
        <v>31.02</v>
      </c>
      <c r="C80" t="s">
        <v>260</v>
      </c>
      <c r="D80" t="s">
        <v>93</v>
      </c>
      <c r="E80" t="s">
        <v>23</v>
      </c>
      <c r="F80" t="s">
        <v>28</v>
      </c>
      <c r="G80">
        <v>2017</v>
      </c>
      <c r="H80" t="s">
        <v>259</v>
      </c>
      <c r="K80" t="s">
        <v>25</v>
      </c>
      <c r="L80" t="s">
        <v>26</v>
      </c>
      <c r="M80" t="b">
        <v>1</v>
      </c>
      <c r="N80" t="s">
        <v>44</v>
      </c>
      <c r="P80" t="s">
        <v>244</v>
      </c>
      <c r="Q80" t="b">
        <v>1</v>
      </c>
      <c r="S80" t="str">
        <f>"9780310758945"</f>
        <v>9780310758945</v>
      </c>
      <c r="T80" t="str">
        <f>"9780310759171"</f>
        <v>9780310759171</v>
      </c>
      <c r="U80" t="b">
        <v>0</v>
      </c>
      <c r="W80" t="b">
        <v>0</v>
      </c>
    </row>
    <row r="81" spans="1:23" x14ac:dyDescent="0.3">
      <c r="A81">
        <v>3145505</v>
      </c>
      <c r="B81">
        <v>17.73</v>
      </c>
      <c r="C81" t="s">
        <v>261</v>
      </c>
      <c r="E81" t="s">
        <v>23</v>
      </c>
      <c r="F81" t="s">
        <v>28</v>
      </c>
      <c r="G81">
        <v>2016</v>
      </c>
      <c r="H81" t="s">
        <v>34</v>
      </c>
      <c r="K81" t="s">
        <v>25</v>
      </c>
      <c r="L81" t="s">
        <v>26</v>
      </c>
      <c r="M81" t="b">
        <v>1</v>
      </c>
      <c r="N81" t="s">
        <v>39</v>
      </c>
      <c r="P81" t="s">
        <v>36</v>
      </c>
      <c r="Q81" t="b">
        <v>1</v>
      </c>
      <c r="T81" t="str">
        <f>"9780310756460"</f>
        <v>9780310756460</v>
      </c>
      <c r="U81" t="b">
        <v>0</v>
      </c>
      <c r="W81" t="b">
        <v>0</v>
      </c>
    </row>
    <row r="82" spans="1:23" x14ac:dyDescent="0.3">
      <c r="A82">
        <v>3145504</v>
      </c>
      <c r="B82">
        <v>17.73</v>
      </c>
      <c r="C82" t="s">
        <v>262</v>
      </c>
      <c r="E82" t="s">
        <v>23</v>
      </c>
      <c r="F82" t="s">
        <v>28</v>
      </c>
      <c r="G82">
        <v>2016</v>
      </c>
      <c r="H82" t="s">
        <v>34</v>
      </c>
      <c r="K82" t="s">
        <v>25</v>
      </c>
      <c r="L82" t="s">
        <v>26</v>
      </c>
      <c r="M82" t="b">
        <v>1</v>
      </c>
      <c r="N82" t="s">
        <v>39</v>
      </c>
      <c r="P82" t="s">
        <v>36</v>
      </c>
      <c r="Q82" t="b">
        <v>1</v>
      </c>
      <c r="T82" t="str">
        <f>"9780310756446"</f>
        <v>9780310756446</v>
      </c>
      <c r="U82" t="b">
        <v>0</v>
      </c>
      <c r="W82" t="b">
        <v>0</v>
      </c>
    </row>
    <row r="83" spans="1:23" x14ac:dyDescent="0.3">
      <c r="A83">
        <v>3145503</v>
      </c>
      <c r="B83">
        <v>46.16</v>
      </c>
      <c r="C83" t="s">
        <v>263</v>
      </c>
      <c r="D83" t="s">
        <v>264</v>
      </c>
      <c r="E83" t="s">
        <v>23</v>
      </c>
      <c r="F83" t="s">
        <v>28</v>
      </c>
      <c r="G83">
        <v>2016</v>
      </c>
      <c r="H83" t="s">
        <v>265</v>
      </c>
      <c r="K83" t="s">
        <v>25</v>
      </c>
      <c r="L83" t="s">
        <v>145</v>
      </c>
      <c r="M83" t="b">
        <v>1</v>
      </c>
      <c r="N83" t="s">
        <v>63</v>
      </c>
      <c r="Q83" t="b">
        <v>1</v>
      </c>
      <c r="T83" t="str">
        <f>"9780310758488"</f>
        <v>9780310758488</v>
      </c>
      <c r="U83" t="b">
        <v>0</v>
      </c>
      <c r="W83" t="b">
        <v>0</v>
      </c>
    </row>
    <row r="84" spans="1:23" x14ac:dyDescent="0.3">
      <c r="A84">
        <v>3145502</v>
      </c>
      <c r="B84">
        <v>65.52</v>
      </c>
      <c r="C84" t="s">
        <v>146</v>
      </c>
      <c r="D84" t="s">
        <v>266</v>
      </c>
      <c r="E84" t="s">
        <v>23</v>
      </c>
      <c r="F84" t="s">
        <v>28</v>
      </c>
      <c r="G84">
        <v>2016</v>
      </c>
      <c r="H84" t="s">
        <v>91</v>
      </c>
      <c r="K84" t="s">
        <v>25</v>
      </c>
      <c r="L84" t="s">
        <v>26</v>
      </c>
      <c r="M84" t="b">
        <v>1</v>
      </c>
      <c r="N84" t="s">
        <v>146</v>
      </c>
      <c r="P84" t="s">
        <v>146</v>
      </c>
      <c r="Q84" t="b">
        <v>0</v>
      </c>
      <c r="S84" t="str">
        <f>"9780310750130"</f>
        <v>9780310750130</v>
      </c>
      <c r="T84" t="str">
        <f>"9780310750284"</f>
        <v>9780310750284</v>
      </c>
      <c r="U84" t="b">
        <v>0</v>
      </c>
      <c r="W84" t="b">
        <v>0</v>
      </c>
    </row>
    <row r="85" spans="1:23" x14ac:dyDescent="0.3">
      <c r="A85">
        <v>3145501</v>
      </c>
      <c r="B85">
        <v>34.47</v>
      </c>
      <c r="C85" t="s">
        <v>267</v>
      </c>
      <c r="E85" t="s">
        <v>23</v>
      </c>
      <c r="F85" t="s">
        <v>28</v>
      </c>
      <c r="G85">
        <v>2016</v>
      </c>
      <c r="H85" t="s">
        <v>268</v>
      </c>
      <c r="K85" t="s">
        <v>25</v>
      </c>
      <c r="L85" t="s">
        <v>26</v>
      </c>
      <c r="M85" t="b">
        <v>1</v>
      </c>
      <c r="N85" t="s">
        <v>44</v>
      </c>
      <c r="P85" t="s">
        <v>269</v>
      </c>
      <c r="Q85" t="b">
        <v>1</v>
      </c>
      <c r="S85" t="str">
        <f>"9780310753476"</f>
        <v>9780310753476</v>
      </c>
      <c r="T85" t="str">
        <f>"9780310753230"</f>
        <v>9780310753230</v>
      </c>
      <c r="U85" t="b">
        <v>0</v>
      </c>
      <c r="W85" t="b">
        <v>0</v>
      </c>
    </row>
    <row r="86" spans="1:23" x14ac:dyDescent="0.3">
      <c r="A86">
        <v>3145500</v>
      </c>
      <c r="B86">
        <v>46.16</v>
      </c>
      <c r="C86" t="s">
        <v>270</v>
      </c>
      <c r="D86" t="s">
        <v>271</v>
      </c>
      <c r="E86" t="s">
        <v>23</v>
      </c>
      <c r="F86" t="s">
        <v>28</v>
      </c>
      <c r="G86">
        <v>2016</v>
      </c>
      <c r="H86" t="s">
        <v>265</v>
      </c>
      <c r="K86" t="s">
        <v>25</v>
      </c>
      <c r="L86" t="s">
        <v>145</v>
      </c>
      <c r="M86" t="b">
        <v>1</v>
      </c>
      <c r="N86" t="s">
        <v>272</v>
      </c>
      <c r="Q86" t="b">
        <v>1</v>
      </c>
      <c r="T86" t="str">
        <f>"9780310749837"</f>
        <v>9780310749837</v>
      </c>
      <c r="U86" t="b">
        <v>0</v>
      </c>
      <c r="W86" t="b">
        <v>0</v>
      </c>
    </row>
    <row r="87" spans="1:23" x14ac:dyDescent="0.3">
      <c r="A87">
        <v>3145499</v>
      </c>
      <c r="B87">
        <v>10.63</v>
      </c>
      <c r="C87" t="s">
        <v>273</v>
      </c>
      <c r="E87" t="s">
        <v>23</v>
      </c>
      <c r="F87" t="s">
        <v>28</v>
      </c>
      <c r="G87">
        <v>2016</v>
      </c>
      <c r="H87" t="s">
        <v>75</v>
      </c>
      <c r="K87" t="s">
        <v>25</v>
      </c>
      <c r="L87" t="s">
        <v>26</v>
      </c>
      <c r="M87" t="b">
        <v>1</v>
      </c>
      <c r="N87" t="s">
        <v>146</v>
      </c>
      <c r="P87" t="s">
        <v>146</v>
      </c>
      <c r="Q87" t="b">
        <v>0</v>
      </c>
      <c r="S87" t="str">
        <f>"9780310736738"</f>
        <v>9780310736738</v>
      </c>
      <c r="T87" t="str">
        <f>"9780310756750"</f>
        <v>9780310756750</v>
      </c>
      <c r="U87" t="b">
        <v>0</v>
      </c>
      <c r="W87" t="b">
        <v>0</v>
      </c>
    </row>
    <row r="88" spans="1:23" x14ac:dyDescent="0.3">
      <c r="A88">
        <v>3145498</v>
      </c>
      <c r="B88">
        <v>17.22</v>
      </c>
      <c r="C88" t="s">
        <v>274</v>
      </c>
      <c r="D88" t="s">
        <v>93</v>
      </c>
      <c r="E88" t="s">
        <v>23</v>
      </c>
      <c r="F88" t="s">
        <v>28</v>
      </c>
      <c r="G88">
        <v>2015</v>
      </c>
      <c r="H88" t="s">
        <v>34</v>
      </c>
      <c r="K88" t="s">
        <v>25</v>
      </c>
      <c r="L88" t="s">
        <v>26</v>
      </c>
      <c r="M88" t="b">
        <v>1</v>
      </c>
      <c r="N88" t="s">
        <v>275</v>
      </c>
      <c r="P88" t="s">
        <v>276</v>
      </c>
      <c r="Q88" t="b">
        <v>1</v>
      </c>
      <c r="S88" t="str">
        <f>"9780310750505"</f>
        <v>9780310750505</v>
      </c>
      <c r="T88" t="str">
        <f>"9780310750697"</f>
        <v>9780310750697</v>
      </c>
      <c r="U88" t="b">
        <v>0</v>
      </c>
      <c r="W88" t="b">
        <v>0</v>
      </c>
    </row>
    <row r="89" spans="1:23" x14ac:dyDescent="0.3">
      <c r="A89">
        <v>3145497</v>
      </c>
      <c r="B89">
        <v>17.22</v>
      </c>
      <c r="C89" t="s">
        <v>277</v>
      </c>
      <c r="D89" t="s">
        <v>93</v>
      </c>
      <c r="E89" t="s">
        <v>23</v>
      </c>
      <c r="F89" t="s">
        <v>28</v>
      </c>
      <c r="G89">
        <v>2015</v>
      </c>
      <c r="H89" t="s">
        <v>34</v>
      </c>
      <c r="K89" t="s">
        <v>25</v>
      </c>
      <c r="L89" t="s">
        <v>26</v>
      </c>
      <c r="M89" t="b">
        <v>1</v>
      </c>
      <c r="N89" t="s">
        <v>275</v>
      </c>
      <c r="P89" t="s">
        <v>276</v>
      </c>
      <c r="Q89" t="b">
        <v>1</v>
      </c>
      <c r="S89" t="str">
        <f>"9780310750642"</f>
        <v>9780310750642</v>
      </c>
      <c r="T89" t="str">
        <f>"9780310750581"</f>
        <v>9780310750581</v>
      </c>
      <c r="U89" t="b">
        <v>0</v>
      </c>
      <c r="W89" t="b">
        <v>0</v>
      </c>
    </row>
    <row r="90" spans="1:23" x14ac:dyDescent="0.3">
      <c r="A90">
        <v>3145496</v>
      </c>
      <c r="B90">
        <v>35.5</v>
      </c>
      <c r="C90" t="s">
        <v>278</v>
      </c>
      <c r="D90" t="s">
        <v>279</v>
      </c>
      <c r="E90" t="s">
        <v>23</v>
      </c>
      <c r="F90" t="s">
        <v>28</v>
      </c>
      <c r="G90">
        <v>2015</v>
      </c>
      <c r="H90" t="s">
        <v>168</v>
      </c>
      <c r="K90" t="s">
        <v>25</v>
      </c>
      <c r="L90" t="s">
        <v>26</v>
      </c>
      <c r="M90" t="b">
        <v>1</v>
      </c>
      <c r="N90" t="s">
        <v>280</v>
      </c>
      <c r="Q90" t="b">
        <v>0</v>
      </c>
      <c r="T90" t="str">
        <f>"9780310752097"</f>
        <v>9780310752097</v>
      </c>
      <c r="U90" t="b">
        <v>0</v>
      </c>
      <c r="W90" t="b">
        <v>0</v>
      </c>
    </row>
    <row r="91" spans="1:23" x14ac:dyDescent="0.3">
      <c r="A91">
        <v>3145495</v>
      </c>
      <c r="B91">
        <v>35.5</v>
      </c>
      <c r="C91" t="s">
        <v>281</v>
      </c>
      <c r="D91" t="s">
        <v>279</v>
      </c>
      <c r="E91" t="s">
        <v>23</v>
      </c>
      <c r="F91" t="s">
        <v>28</v>
      </c>
      <c r="G91">
        <v>2015</v>
      </c>
      <c r="H91" t="s">
        <v>168</v>
      </c>
      <c r="K91" t="s">
        <v>25</v>
      </c>
      <c r="L91" t="s">
        <v>26</v>
      </c>
      <c r="M91" t="b">
        <v>1</v>
      </c>
      <c r="N91" t="s">
        <v>280</v>
      </c>
      <c r="Q91" t="b">
        <v>0</v>
      </c>
      <c r="T91" t="str">
        <f>"9780310752127"</f>
        <v>9780310752127</v>
      </c>
      <c r="U91" t="b">
        <v>0</v>
      </c>
      <c r="W91" t="b">
        <v>0</v>
      </c>
    </row>
    <row r="92" spans="1:23" x14ac:dyDescent="0.3">
      <c r="A92">
        <v>3145494</v>
      </c>
      <c r="B92">
        <v>35.5</v>
      </c>
      <c r="C92" t="s">
        <v>282</v>
      </c>
      <c r="D92" t="s">
        <v>279</v>
      </c>
      <c r="E92" t="s">
        <v>23</v>
      </c>
      <c r="F92" t="s">
        <v>28</v>
      </c>
      <c r="G92">
        <v>2015</v>
      </c>
      <c r="H92" t="s">
        <v>168</v>
      </c>
      <c r="K92" t="s">
        <v>25</v>
      </c>
      <c r="L92" t="s">
        <v>26</v>
      </c>
      <c r="M92" t="b">
        <v>1</v>
      </c>
      <c r="N92" t="s">
        <v>280</v>
      </c>
      <c r="Q92" t="b">
        <v>0</v>
      </c>
      <c r="T92" t="str">
        <f>"9780310752141"</f>
        <v>9780310752141</v>
      </c>
      <c r="U92" t="b">
        <v>0</v>
      </c>
      <c r="W92" t="b">
        <v>0</v>
      </c>
    </row>
    <row r="93" spans="1:23" x14ac:dyDescent="0.3">
      <c r="A93">
        <v>3145493</v>
      </c>
      <c r="B93">
        <v>62.07</v>
      </c>
      <c r="C93" t="s">
        <v>283</v>
      </c>
      <c r="E93" t="s">
        <v>23</v>
      </c>
      <c r="F93" t="s">
        <v>28</v>
      </c>
      <c r="G93">
        <v>2015</v>
      </c>
      <c r="H93" t="s">
        <v>192</v>
      </c>
      <c r="K93" t="s">
        <v>25</v>
      </c>
      <c r="L93" t="s">
        <v>145</v>
      </c>
      <c r="M93" t="b">
        <v>1</v>
      </c>
      <c r="N93" t="s">
        <v>284</v>
      </c>
      <c r="Q93" t="b">
        <v>1</v>
      </c>
      <c r="S93" t="str">
        <f>"9780310745563"</f>
        <v>9780310745563</v>
      </c>
      <c r="T93" t="str">
        <f>"9780310746126"</f>
        <v>9780310746126</v>
      </c>
      <c r="U93" t="b">
        <v>0</v>
      </c>
      <c r="W93" t="b">
        <v>0</v>
      </c>
    </row>
    <row r="94" spans="1:23" x14ac:dyDescent="0.3">
      <c r="A94">
        <v>3145492</v>
      </c>
      <c r="B94">
        <v>28.39</v>
      </c>
      <c r="C94" t="s">
        <v>285</v>
      </c>
      <c r="E94" t="s">
        <v>23</v>
      </c>
      <c r="F94" t="s">
        <v>28</v>
      </c>
      <c r="G94">
        <v>2015</v>
      </c>
      <c r="H94" t="s">
        <v>222</v>
      </c>
      <c r="K94" t="s">
        <v>25</v>
      </c>
      <c r="L94" t="s">
        <v>26</v>
      </c>
      <c r="M94" t="b">
        <v>1</v>
      </c>
      <c r="N94" t="s">
        <v>44</v>
      </c>
      <c r="Q94" t="b">
        <v>0</v>
      </c>
      <c r="S94" t="str">
        <f>"9780310749424"</f>
        <v>9780310749424</v>
      </c>
      <c r="T94" t="str">
        <f>"9780310749561"</f>
        <v>9780310749561</v>
      </c>
      <c r="U94" t="b">
        <v>0</v>
      </c>
      <c r="W94" t="b">
        <v>0</v>
      </c>
    </row>
    <row r="95" spans="1:23" x14ac:dyDescent="0.3">
      <c r="A95">
        <v>3145491</v>
      </c>
      <c r="B95">
        <v>58.62</v>
      </c>
      <c r="C95" t="s">
        <v>286</v>
      </c>
      <c r="E95" t="s">
        <v>23</v>
      </c>
      <c r="F95" t="s">
        <v>28</v>
      </c>
      <c r="G95">
        <v>2015</v>
      </c>
      <c r="H95" t="s">
        <v>196</v>
      </c>
      <c r="K95" t="s">
        <v>25</v>
      </c>
      <c r="L95" t="s">
        <v>145</v>
      </c>
      <c r="M95" t="b">
        <v>1</v>
      </c>
      <c r="N95" t="s">
        <v>287</v>
      </c>
      <c r="Q95" t="b">
        <v>1</v>
      </c>
      <c r="S95" t="str">
        <f>"9780310000884"</f>
        <v>9780310000884</v>
      </c>
      <c r="T95" t="str">
        <f>"9780310744252"</f>
        <v>9780310744252</v>
      </c>
      <c r="U95" t="b">
        <v>0</v>
      </c>
      <c r="W95" t="b">
        <v>0</v>
      </c>
    </row>
    <row r="96" spans="1:23" x14ac:dyDescent="0.3">
      <c r="A96">
        <v>3145490</v>
      </c>
      <c r="B96">
        <v>17.22</v>
      </c>
      <c r="C96" t="s">
        <v>288</v>
      </c>
      <c r="D96" t="s">
        <v>93</v>
      </c>
      <c r="E96" t="s">
        <v>23</v>
      </c>
      <c r="F96" t="s">
        <v>28</v>
      </c>
      <c r="G96">
        <v>2016</v>
      </c>
      <c r="H96" t="s">
        <v>34</v>
      </c>
      <c r="K96" t="s">
        <v>25</v>
      </c>
      <c r="L96" t="s">
        <v>26</v>
      </c>
      <c r="M96" t="b">
        <v>1</v>
      </c>
      <c r="N96" t="s">
        <v>275</v>
      </c>
      <c r="P96" t="s">
        <v>276</v>
      </c>
      <c r="Q96" t="b">
        <v>1</v>
      </c>
      <c r="S96" t="str">
        <f>"9780310750673"</f>
        <v>9780310750673</v>
      </c>
      <c r="T96" t="str">
        <f>"9780310750833"</f>
        <v>9780310750833</v>
      </c>
      <c r="U96" t="b">
        <v>0</v>
      </c>
      <c r="W96" t="b">
        <v>0</v>
      </c>
    </row>
    <row r="97" spans="1:23" x14ac:dyDescent="0.3">
      <c r="A97">
        <v>3145489</v>
      </c>
      <c r="B97">
        <v>17.22</v>
      </c>
      <c r="C97" t="s">
        <v>289</v>
      </c>
      <c r="D97" t="s">
        <v>93</v>
      </c>
      <c r="E97" t="s">
        <v>23</v>
      </c>
      <c r="F97" t="s">
        <v>28</v>
      </c>
      <c r="G97">
        <v>2016</v>
      </c>
      <c r="H97" t="s">
        <v>34</v>
      </c>
      <c r="K97" t="s">
        <v>25</v>
      </c>
      <c r="L97" t="s">
        <v>26</v>
      </c>
      <c r="M97" t="b">
        <v>1</v>
      </c>
      <c r="N97" t="s">
        <v>275</v>
      </c>
      <c r="P97" t="s">
        <v>276</v>
      </c>
      <c r="Q97" t="b">
        <v>1</v>
      </c>
      <c r="S97" t="str">
        <f>"9780310750383"</f>
        <v>9780310750383</v>
      </c>
      <c r="T97" t="str">
        <f>"9780310750741"</f>
        <v>9780310750741</v>
      </c>
      <c r="U97" t="b">
        <v>0</v>
      </c>
      <c r="W97" t="b">
        <v>0</v>
      </c>
    </row>
    <row r="98" spans="1:23" x14ac:dyDescent="0.3">
      <c r="A98">
        <v>3145488</v>
      </c>
      <c r="B98">
        <v>55.17</v>
      </c>
      <c r="C98" t="s">
        <v>290</v>
      </c>
      <c r="E98" t="s">
        <v>23</v>
      </c>
      <c r="F98" t="s">
        <v>28</v>
      </c>
      <c r="G98">
        <v>2015</v>
      </c>
      <c r="H98" t="s">
        <v>141</v>
      </c>
      <c r="K98" t="s">
        <v>25</v>
      </c>
      <c r="L98" t="s">
        <v>30</v>
      </c>
      <c r="M98" t="b">
        <v>1</v>
      </c>
      <c r="N98" t="s">
        <v>291</v>
      </c>
      <c r="Q98" t="b">
        <v>0</v>
      </c>
      <c r="S98" t="str">
        <f>"9780310747802"</f>
        <v>9780310747802</v>
      </c>
      <c r="T98" t="str">
        <f>"9780310748380"</f>
        <v>9780310748380</v>
      </c>
      <c r="U98" t="b">
        <v>0</v>
      </c>
      <c r="W98" t="b">
        <v>0</v>
      </c>
    </row>
    <row r="99" spans="1:23" x14ac:dyDescent="0.3">
      <c r="A99">
        <v>3145487</v>
      </c>
      <c r="B99">
        <v>55.17</v>
      </c>
      <c r="C99" t="s">
        <v>292</v>
      </c>
      <c r="E99" t="s">
        <v>23</v>
      </c>
      <c r="F99" t="s">
        <v>28</v>
      </c>
      <c r="G99">
        <v>2015</v>
      </c>
      <c r="H99" t="s">
        <v>75</v>
      </c>
      <c r="K99" t="s">
        <v>25</v>
      </c>
      <c r="L99" t="s">
        <v>30</v>
      </c>
      <c r="M99" t="b">
        <v>1</v>
      </c>
      <c r="N99" t="s">
        <v>291</v>
      </c>
      <c r="Q99" t="b">
        <v>0</v>
      </c>
      <c r="S99" t="str">
        <f>"9780310744443"</f>
        <v>9780310744443</v>
      </c>
      <c r="T99" t="str">
        <f>"9780310747703"</f>
        <v>9780310747703</v>
      </c>
      <c r="U99" t="b">
        <v>0</v>
      </c>
      <c r="W99" t="b">
        <v>0</v>
      </c>
    </row>
    <row r="100" spans="1:23" x14ac:dyDescent="0.3">
      <c r="A100">
        <v>3145473</v>
      </c>
      <c r="B100">
        <v>44.82</v>
      </c>
      <c r="C100" t="s">
        <v>293</v>
      </c>
      <c r="D100" t="s">
        <v>93</v>
      </c>
      <c r="E100" t="s">
        <v>23</v>
      </c>
      <c r="F100" t="s">
        <v>28</v>
      </c>
      <c r="G100">
        <v>2014</v>
      </c>
      <c r="H100" t="s">
        <v>34</v>
      </c>
      <c r="K100" t="s">
        <v>25</v>
      </c>
      <c r="L100" t="s">
        <v>26</v>
      </c>
      <c r="M100" t="b">
        <v>1</v>
      </c>
      <c r="N100" t="s">
        <v>35</v>
      </c>
      <c r="P100" t="s">
        <v>36</v>
      </c>
      <c r="Q100" t="b">
        <v>1</v>
      </c>
      <c r="S100" t="str">
        <f>"9780310742111"</f>
        <v>9780310742111</v>
      </c>
      <c r="T100" t="str">
        <f>"9780310742135"</f>
        <v>9780310742135</v>
      </c>
      <c r="U100" t="b">
        <v>0</v>
      </c>
      <c r="W100" t="b">
        <v>0</v>
      </c>
    </row>
    <row r="101" spans="1:23" x14ac:dyDescent="0.3">
      <c r="A101">
        <v>3145472</v>
      </c>
      <c r="B101">
        <v>24.84</v>
      </c>
      <c r="C101" t="s">
        <v>294</v>
      </c>
      <c r="E101" t="s">
        <v>23</v>
      </c>
      <c r="F101" t="s">
        <v>28</v>
      </c>
      <c r="G101">
        <v>2014</v>
      </c>
      <c r="H101" t="s">
        <v>123</v>
      </c>
      <c r="K101" t="s">
        <v>25</v>
      </c>
      <c r="M101" t="b">
        <v>1</v>
      </c>
      <c r="N101" t="s">
        <v>44</v>
      </c>
      <c r="P101" t="s">
        <v>295</v>
      </c>
      <c r="Q101" t="b">
        <v>0</v>
      </c>
      <c r="S101" t="str">
        <f>"9780310743187"</f>
        <v>9780310743187</v>
      </c>
      <c r="T101" t="str">
        <f>"9780310743446"</f>
        <v>9780310743446</v>
      </c>
      <c r="U101" t="b">
        <v>0</v>
      </c>
      <c r="W101" t="b">
        <v>0</v>
      </c>
    </row>
    <row r="102" spans="1:23" x14ac:dyDescent="0.3">
      <c r="A102">
        <v>3145470</v>
      </c>
      <c r="B102">
        <v>27.57</v>
      </c>
      <c r="C102" t="s">
        <v>296</v>
      </c>
      <c r="E102" t="s">
        <v>23</v>
      </c>
      <c r="F102" t="s">
        <v>28</v>
      </c>
      <c r="G102">
        <v>2014</v>
      </c>
      <c r="H102" t="s">
        <v>297</v>
      </c>
      <c r="K102" t="s">
        <v>25</v>
      </c>
      <c r="L102" t="s">
        <v>30</v>
      </c>
      <c r="M102" t="b">
        <v>1</v>
      </c>
      <c r="N102" t="s">
        <v>44</v>
      </c>
      <c r="P102" t="s">
        <v>298</v>
      </c>
      <c r="Q102" t="b">
        <v>0</v>
      </c>
      <c r="S102" t="str">
        <f>"9780310745167"</f>
        <v>9780310745167</v>
      </c>
      <c r="T102" t="str">
        <f>"9780310744870"</f>
        <v>9780310744870</v>
      </c>
      <c r="U102" t="b">
        <v>0</v>
      </c>
      <c r="W102" t="b">
        <v>0</v>
      </c>
    </row>
    <row r="103" spans="1:23" x14ac:dyDescent="0.3">
      <c r="A103">
        <v>3145466</v>
      </c>
      <c r="B103">
        <v>17.22</v>
      </c>
      <c r="C103" t="s">
        <v>299</v>
      </c>
      <c r="D103" t="s">
        <v>143</v>
      </c>
      <c r="E103" t="s">
        <v>23</v>
      </c>
      <c r="F103" t="s">
        <v>28</v>
      </c>
      <c r="G103">
        <v>2012</v>
      </c>
      <c r="H103" t="s">
        <v>144</v>
      </c>
      <c r="K103" t="s">
        <v>25</v>
      </c>
      <c r="L103" t="s">
        <v>145</v>
      </c>
      <c r="M103" t="b">
        <v>1</v>
      </c>
      <c r="N103" t="s">
        <v>146</v>
      </c>
      <c r="P103" t="s">
        <v>147</v>
      </c>
      <c r="Q103" t="b">
        <v>0</v>
      </c>
      <c r="S103" t="str">
        <f>"9780310717799"</f>
        <v>9780310717799</v>
      </c>
      <c r="T103" t="str">
        <f>"9780310733492"</f>
        <v>9780310733492</v>
      </c>
      <c r="U103" t="b">
        <v>0</v>
      </c>
      <c r="W103" t="b">
        <v>0</v>
      </c>
    </row>
    <row r="104" spans="1:23" x14ac:dyDescent="0.3">
      <c r="A104">
        <v>3145465</v>
      </c>
      <c r="B104">
        <v>17.73</v>
      </c>
      <c r="C104" t="s">
        <v>300</v>
      </c>
      <c r="D104" t="s">
        <v>143</v>
      </c>
      <c r="E104" t="s">
        <v>23</v>
      </c>
      <c r="F104" t="s">
        <v>28</v>
      </c>
      <c r="G104">
        <v>2012</v>
      </c>
      <c r="H104" t="s">
        <v>144</v>
      </c>
      <c r="K104" t="s">
        <v>25</v>
      </c>
      <c r="L104" t="s">
        <v>145</v>
      </c>
      <c r="M104" t="b">
        <v>1</v>
      </c>
      <c r="N104" t="s">
        <v>146</v>
      </c>
      <c r="P104" t="s">
        <v>147</v>
      </c>
      <c r="Q104" t="b">
        <v>0</v>
      </c>
      <c r="T104" t="str">
        <f>"9780310733508"</f>
        <v>9780310733508</v>
      </c>
      <c r="U104" t="b">
        <v>0</v>
      </c>
      <c r="W104" t="b">
        <v>0</v>
      </c>
    </row>
    <row r="105" spans="1:23" x14ac:dyDescent="0.3">
      <c r="A105">
        <v>3145464</v>
      </c>
      <c r="B105">
        <v>17.22</v>
      </c>
      <c r="C105" t="s">
        <v>301</v>
      </c>
      <c r="D105" t="s">
        <v>93</v>
      </c>
      <c r="E105" t="s">
        <v>23</v>
      </c>
      <c r="F105" t="s">
        <v>28</v>
      </c>
      <c r="G105">
        <v>2015</v>
      </c>
      <c r="H105" t="s">
        <v>153</v>
      </c>
      <c r="K105" t="s">
        <v>25</v>
      </c>
      <c r="L105" t="s">
        <v>26</v>
      </c>
      <c r="M105" t="b">
        <v>1</v>
      </c>
      <c r="N105" t="s">
        <v>39</v>
      </c>
      <c r="P105" t="s">
        <v>154</v>
      </c>
      <c r="Q105" t="b">
        <v>1</v>
      </c>
      <c r="S105" t="str">
        <f>"9780310721017"</f>
        <v>9780310721017</v>
      </c>
      <c r="T105" t="str">
        <f>"9780310754350"</f>
        <v>9780310754350</v>
      </c>
      <c r="U105" t="b">
        <v>0</v>
      </c>
      <c r="W105" t="b">
        <v>0</v>
      </c>
    </row>
    <row r="106" spans="1:23" x14ac:dyDescent="0.3">
      <c r="A106">
        <v>3145463</v>
      </c>
      <c r="B106">
        <v>13.77</v>
      </c>
      <c r="C106" t="s">
        <v>302</v>
      </c>
      <c r="E106" t="s">
        <v>23</v>
      </c>
      <c r="F106" t="s">
        <v>28</v>
      </c>
      <c r="G106">
        <v>2016</v>
      </c>
      <c r="H106" t="s">
        <v>41</v>
      </c>
      <c r="K106" t="s">
        <v>25</v>
      </c>
      <c r="L106" t="s">
        <v>26</v>
      </c>
      <c r="M106" t="b">
        <v>1</v>
      </c>
      <c r="N106" t="s">
        <v>39</v>
      </c>
      <c r="P106" t="s">
        <v>36</v>
      </c>
      <c r="Q106" t="b">
        <v>1</v>
      </c>
      <c r="S106" t="str">
        <f>"9780310720898"</f>
        <v>9780310720898</v>
      </c>
      <c r="T106" t="str">
        <f>"9780310756477"</f>
        <v>9780310756477</v>
      </c>
      <c r="U106" t="b">
        <v>0</v>
      </c>
      <c r="W106" t="b">
        <v>0</v>
      </c>
    </row>
    <row r="107" spans="1:23" x14ac:dyDescent="0.3">
      <c r="A107">
        <v>3145460</v>
      </c>
      <c r="B107">
        <v>17.22</v>
      </c>
      <c r="C107" t="s">
        <v>303</v>
      </c>
      <c r="E107" t="s">
        <v>23</v>
      </c>
      <c r="F107" t="s">
        <v>28</v>
      </c>
      <c r="G107">
        <v>2016</v>
      </c>
      <c r="H107" t="s">
        <v>34</v>
      </c>
      <c r="K107" t="s">
        <v>25</v>
      </c>
      <c r="L107" t="s">
        <v>26</v>
      </c>
      <c r="M107" t="b">
        <v>1</v>
      </c>
      <c r="N107" t="s">
        <v>39</v>
      </c>
      <c r="P107" t="s">
        <v>36</v>
      </c>
      <c r="Q107" t="b">
        <v>1</v>
      </c>
      <c r="S107" t="str">
        <f>"9780310712572"</f>
        <v>9780310712572</v>
      </c>
      <c r="T107" t="str">
        <f>"9780310756644"</f>
        <v>9780310756644</v>
      </c>
      <c r="U107" t="b">
        <v>0</v>
      </c>
      <c r="W107" t="b">
        <v>0</v>
      </c>
    </row>
    <row r="108" spans="1:23" x14ac:dyDescent="0.3">
      <c r="A108">
        <v>3145459</v>
      </c>
      <c r="B108">
        <v>17.22</v>
      </c>
      <c r="C108" t="s">
        <v>304</v>
      </c>
      <c r="D108" t="s">
        <v>93</v>
      </c>
      <c r="E108" t="s">
        <v>23</v>
      </c>
      <c r="F108" t="s">
        <v>28</v>
      </c>
      <c r="G108">
        <v>2015</v>
      </c>
      <c r="H108" t="s">
        <v>153</v>
      </c>
      <c r="K108" t="s">
        <v>25</v>
      </c>
      <c r="L108" t="s">
        <v>26</v>
      </c>
      <c r="M108" t="b">
        <v>1</v>
      </c>
      <c r="N108" t="s">
        <v>39</v>
      </c>
      <c r="P108" t="s">
        <v>154</v>
      </c>
      <c r="Q108" t="b">
        <v>1</v>
      </c>
      <c r="S108" t="str">
        <f>"9780310720973"</f>
        <v>9780310720973</v>
      </c>
      <c r="T108" t="str">
        <f>"9780310754282"</f>
        <v>9780310754282</v>
      </c>
      <c r="U108" t="b">
        <v>0</v>
      </c>
      <c r="W108" t="b">
        <v>0</v>
      </c>
    </row>
    <row r="109" spans="1:23" x14ac:dyDescent="0.3">
      <c r="A109">
        <v>3145458</v>
      </c>
      <c r="B109">
        <v>17.22</v>
      </c>
      <c r="C109" t="s">
        <v>305</v>
      </c>
      <c r="E109" t="s">
        <v>23</v>
      </c>
      <c r="F109" t="s">
        <v>28</v>
      </c>
      <c r="G109">
        <v>2012</v>
      </c>
      <c r="H109" t="s">
        <v>34</v>
      </c>
      <c r="K109" t="s">
        <v>25</v>
      </c>
      <c r="L109" t="s">
        <v>30</v>
      </c>
      <c r="M109" t="b">
        <v>1</v>
      </c>
      <c r="N109" t="s">
        <v>35</v>
      </c>
      <c r="P109" t="s">
        <v>36</v>
      </c>
      <c r="Q109" t="b">
        <v>1</v>
      </c>
      <c r="S109" t="str">
        <f>"9780310712473"</f>
        <v>9780310712473</v>
      </c>
      <c r="T109" t="str">
        <f>"9780310700746"</f>
        <v>9780310700746</v>
      </c>
      <c r="U109" t="b">
        <v>0</v>
      </c>
      <c r="W109" t="b">
        <v>0</v>
      </c>
    </row>
    <row r="110" spans="1:23" x14ac:dyDescent="0.3">
      <c r="A110">
        <v>3145457</v>
      </c>
      <c r="B110">
        <v>44.82</v>
      </c>
      <c r="C110" t="s">
        <v>306</v>
      </c>
      <c r="D110" t="s">
        <v>307</v>
      </c>
      <c r="E110" t="s">
        <v>23</v>
      </c>
      <c r="F110" t="s">
        <v>44</v>
      </c>
      <c r="G110">
        <v>2022</v>
      </c>
      <c r="H110" t="s">
        <v>62</v>
      </c>
      <c r="K110" t="s">
        <v>25</v>
      </c>
      <c r="L110" t="s">
        <v>26</v>
      </c>
      <c r="M110" t="b">
        <v>1</v>
      </c>
      <c r="N110" t="s">
        <v>44</v>
      </c>
      <c r="Q110" t="b">
        <v>0</v>
      </c>
      <c r="S110" t="str">
        <f>"9780310460503"</f>
        <v>9780310460503</v>
      </c>
      <c r="T110" t="str">
        <f>"9780310462446"</f>
        <v>9780310462446</v>
      </c>
      <c r="U110" t="b">
        <v>0</v>
      </c>
      <c r="W110" t="b">
        <v>0</v>
      </c>
    </row>
    <row r="111" spans="1:23" x14ac:dyDescent="0.3">
      <c r="A111">
        <v>3145456</v>
      </c>
      <c r="B111">
        <v>62.07</v>
      </c>
      <c r="C111" t="s">
        <v>308</v>
      </c>
      <c r="E111" t="s">
        <v>23</v>
      </c>
      <c r="F111" t="s">
        <v>28</v>
      </c>
      <c r="G111">
        <v>2022</v>
      </c>
      <c r="H111" t="s">
        <v>309</v>
      </c>
      <c r="K111" t="s">
        <v>25</v>
      </c>
      <c r="L111" t="s">
        <v>26</v>
      </c>
      <c r="M111" t="b">
        <v>1</v>
      </c>
      <c r="N111" t="s">
        <v>310</v>
      </c>
      <c r="P111" t="s">
        <v>311</v>
      </c>
      <c r="Q111" t="b">
        <v>1</v>
      </c>
      <c r="S111" t="str">
        <f>"9780310747840"</f>
        <v>9780310747840</v>
      </c>
      <c r="T111" t="str">
        <f>"9780310748137"</f>
        <v>9780310748137</v>
      </c>
      <c r="U111" t="b">
        <v>0</v>
      </c>
      <c r="W111" t="b">
        <v>0</v>
      </c>
    </row>
    <row r="112" spans="1:23" x14ac:dyDescent="0.3">
      <c r="A112">
        <v>3145455</v>
      </c>
      <c r="B112">
        <v>17.22</v>
      </c>
      <c r="C112" t="s">
        <v>312</v>
      </c>
      <c r="D112" t="s">
        <v>93</v>
      </c>
      <c r="E112" t="s">
        <v>23</v>
      </c>
      <c r="F112" t="s">
        <v>28</v>
      </c>
      <c r="G112">
        <v>2022</v>
      </c>
      <c r="H112" t="s">
        <v>313</v>
      </c>
      <c r="K112" t="s">
        <v>25</v>
      </c>
      <c r="L112" t="s">
        <v>26</v>
      </c>
      <c r="M112" t="b">
        <v>1</v>
      </c>
      <c r="N112" t="s">
        <v>44</v>
      </c>
      <c r="P112" t="s">
        <v>314</v>
      </c>
      <c r="Q112" t="b">
        <v>1</v>
      </c>
      <c r="S112" t="str">
        <f>"9780310763116"</f>
        <v>9780310763116</v>
      </c>
      <c r="T112" t="str">
        <f>"9780310766070"</f>
        <v>9780310766070</v>
      </c>
      <c r="U112" t="b">
        <v>0</v>
      </c>
      <c r="W112" t="b">
        <v>0</v>
      </c>
    </row>
    <row r="113" spans="1:23" x14ac:dyDescent="0.3">
      <c r="A113">
        <v>3145454</v>
      </c>
      <c r="B113">
        <v>65.52</v>
      </c>
      <c r="C113" t="s">
        <v>315</v>
      </c>
      <c r="E113" t="s">
        <v>23</v>
      </c>
      <c r="F113" t="s">
        <v>28</v>
      </c>
      <c r="G113">
        <v>2022</v>
      </c>
      <c r="H113" t="s">
        <v>316</v>
      </c>
      <c r="K113" t="s">
        <v>25</v>
      </c>
      <c r="L113" t="s">
        <v>26</v>
      </c>
      <c r="M113" t="b">
        <v>1</v>
      </c>
      <c r="N113" t="s">
        <v>317</v>
      </c>
      <c r="Q113" t="b">
        <v>1</v>
      </c>
      <c r="S113" t="str">
        <f>"9780310764588"</f>
        <v>9780310764588</v>
      </c>
      <c r="T113" t="str">
        <f>"9780310764625"</f>
        <v>9780310764625</v>
      </c>
      <c r="U113" t="b">
        <v>0</v>
      </c>
      <c r="W113" t="b">
        <v>0</v>
      </c>
    </row>
    <row r="114" spans="1:23" x14ac:dyDescent="0.3">
      <c r="A114">
        <v>3145453</v>
      </c>
      <c r="B114">
        <v>17.22</v>
      </c>
      <c r="C114" t="s">
        <v>318</v>
      </c>
      <c r="D114" t="s">
        <v>93</v>
      </c>
      <c r="E114" t="s">
        <v>23</v>
      </c>
      <c r="F114" t="s">
        <v>28</v>
      </c>
      <c r="G114">
        <v>2022</v>
      </c>
      <c r="H114" t="s">
        <v>313</v>
      </c>
      <c r="K114" t="s">
        <v>25</v>
      </c>
      <c r="L114" t="s">
        <v>26</v>
      </c>
      <c r="M114" t="b">
        <v>1</v>
      </c>
      <c r="N114" t="s">
        <v>44</v>
      </c>
      <c r="P114" t="s">
        <v>314</v>
      </c>
      <c r="Q114" t="b">
        <v>1</v>
      </c>
      <c r="S114" t="str">
        <f>"9780310754831"</f>
        <v>9780310754831</v>
      </c>
      <c r="T114" t="str">
        <f>"9780310755074"</f>
        <v>9780310755074</v>
      </c>
      <c r="U114" t="b">
        <v>0</v>
      </c>
      <c r="W114" t="b">
        <v>0</v>
      </c>
    </row>
    <row r="115" spans="1:23" x14ac:dyDescent="0.3">
      <c r="A115">
        <v>3145452</v>
      </c>
      <c r="B115">
        <v>34.47</v>
      </c>
      <c r="C115" t="s">
        <v>319</v>
      </c>
      <c r="E115" t="s">
        <v>23</v>
      </c>
      <c r="F115" t="s">
        <v>28</v>
      </c>
      <c r="G115">
        <v>2022</v>
      </c>
      <c r="H115" t="s">
        <v>320</v>
      </c>
      <c r="K115" t="s">
        <v>25</v>
      </c>
      <c r="L115" t="s">
        <v>26</v>
      </c>
      <c r="M115" t="b">
        <v>1</v>
      </c>
      <c r="N115" t="s">
        <v>321</v>
      </c>
      <c r="Q115" t="b">
        <v>1</v>
      </c>
      <c r="S115" t="str">
        <f>"9780310744337"</f>
        <v>9780310744337</v>
      </c>
      <c r="T115" t="str">
        <f>"9780310744535"</f>
        <v>9780310744535</v>
      </c>
      <c r="U115" t="b">
        <v>0</v>
      </c>
      <c r="W115" t="b">
        <v>0</v>
      </c>
    </row>
    <row r="116" spans="1:23" x14ac:dyDescent="0.3">
      <c r="A116">
        <v>3145451</v>
      </c>
      <c r="B116">
        <v>62.07</v>
      </c>
      <c r="C116" t="s">
        <v>322</v>
      </c>
      <c r="D116" t="s">
        <v>323</v>
      </c>
      <c r="E116" t="s">
        <v>23</v>
      </c>
      <c r="F116" t="s">
        <v>28</v>
      </c>
      <c r="G116">
        <v>2022</v>
      </c>
      <c r="H116" t="s">
        <v>252</v>
      </c>
      <c r="K116" t="s">
        <v>25</v>
      </c>
      <c r="L116" t="s">
        <v>26</v>
      </c>
      <c r="M116" t="b">
        <v>1</v>
      </c>
      <c r="N116" t="s">
        <v>210</v>
      </c>
      <c r="Q116" t="b">
        <v>0</v>
      </c>
      <c r="S116" t="str">
        <f>"9780310734130"</f>
        <v>9780310734130</v>
      </c>
      <c r="T116" t="str">
        <f>"9780310734147"</f>
        <v>9780310734147</v>
      </c>
      <c r="U116" t="b">
        <v>0</v>
      </c>
      <c r="W116" t="b">
        <v>0</v>
      </c>
    </row>
    <row r="117" spans="1:23" x14ac:dyDescent="0.3">
      <c r="A117">
        <v>3145450</v>
      </c>
      <c r="B117">
        <v>62.07</v>
      </c>
      <c r="C117" t="s">
        <v>324</v>
      </c>
      <c r="D117" t="s">
        <v>325</v>
      </c>
      <c r="E117" t="s">
        <v>23</v>
      </c>
      <c r="F117" t="s">
        <v>44</v>
      </c>
      <c r="G117">
        <v>2019</v>
      </c>
      <c r="H117" t="s">
        <v>326</v>
      </c>
      <c r="K117" t="s">
        <v>25</v>
      </c>
      <c r="L117" t="s">
        <v>26</v>
      </c>
      <c r="M117" t="b">
        <v>1</v>
      </c>
      <c r="N117" t="s">
        <v>327</v>
      </c>
      <c r="Q117" t="b">
        <v>0</v>
      </c>
      <c r="S117" t="str">
        <f>"9780310764861"</f>
        <v>9780310764861</v>
      </c>
      <c r="T117" t="str">
        <f>"9780310764915"</f>
        <v>9780310764915</v>
      </c>
      <c r="U117" t="b">
        <v>0</v>
      </c>
      <c r="W117" t="b">
        <v>0</v>
      </c>
    </row>
    <row r="118" spans="1:23" x14ac:dyDescent="0.3">
      <c r="A118">
        <v>3145449</v>
      </c>
      <c r="B118">
        <v>44.82</v>
      </c>
      <c r="C118" t="s">
        <v>328</v>
      </c>
      <c r="E118" t="s">
        <v>23</v>
      </c>
      <c r="F118" t="s">
        <v>28</v>
      </c>
      <c r="G118">
        <v>2022</v>
      </c>
      <c r="H118" t="s">
        <v>91</v>
      </c>
      <c r="K118" t="s">
        <v>25</v>
      </c>
      <c r="L118" t="s">
        <v>26</v>
      </c>
      <c r="M118" t="b">
        <v>1</v>
      </c>
      <c r="N118" t="s">
        <v>329</v>
      </c>
      <c r="Q118" t="b">
        <v>0</v>
      </c>
      <c r="S118" t="str">
        <f>"9780310776697"</f>
        <v>9780310776697</v>
      </c>
      <c r="T118" t="str">
        <f>"9780310776840"</f>
        <v>9780310776840</v>
      </c>
      <c r="U118" t="b">
        <v>0</v>
      </c>
      <c r="W118" t="b">
        <v>0</v>
      </c>
    </row>
    <row r="119" spans="1:23" x14ac:dyDescent="0.3">
      <c r="A119">
        <v>3145448</v>
      </c>
      <c r="B119">
        <v>65.52</v>
      </c>
      <c r="C119" t="s">
        <v>330</v>
      </c>
      <c r="E119" t="s">
        <v>23</v>
      </c>
      <c r="F119" t="s">
        <v>28</v>
      </c>
      <c r="G119">
        <v>2022</v>
      </c>
      <c r="H119" t="s">
        <v>331</v>
      </c>
      <c r="K119" t="s">
        <v>25</v>
      </c>
      <c r="L119" t="s">
        <v>26</v>
      </c>
      <c r="M119" t="b">
        <v>1</v>
      </c>
      <c r="N119" t="s">
        <v>231</v>
      </c>
      <c r="Q119" t="b">
        <v>1</v>
      </c>
      <c r="S119" t="str">
        <f>"9780310770060"</f>
        <v>9780310770060</v>
      </c>
      <c r="T119" t="str">
        <f>"9780310770077"</f>
        <v>9780310770077</v>
      </c>
      <c r="U119" t="b">
        <v>0</v>
      </c>
      <c r="W119" t="b">
        <v>0</v>
      </c>
    </row>
    <row r="120" spans="1:23" x14ac:dyDescent="0.3">
      <c r="A120">
        <v>3145447</v>
      </c>
      <c r="B120">
        <v>34.47</v>
      </c>
      <c r="C120" t="s">
        <v>332</v>
      </c>
      <c r="E120" t="s">
        <v>23</v>
      </c>
      <c r="F120" t="s">
        <v>28</v>
      </c>
      <c r="G120">
        <v>2022</v>
      </c>
      <c r="H120" t="s">
        <v>326</v>
      </c>
      <c r="K120" t="s">
        <v>25</v>
      </c>
      <c r="L120" t="s">
        <v>26</v>
      </c>
      <c r="M120" t="b">
        <v>1</v>
      </c>
      <c r="N120" t="s">
        <v>210</v>
      </c>
      <c r="P120" t="s">
        <v>333</v>
      </c>
      <c r="Q120" t="b">
        <v>0</v>
      </c>
      <c r="S120" t="str">
        <f>"9780310770725"</f>
        <v>9780310770725</v>
      </c>
      <c r="T120" t="str">
        <f>"9780310770732"</f>
        <v>9780310770732</v>
      </c>
      <c r="U120" t="b">
        <v>0</v>
      </c>
      <c r="W120" t="b">
        <v>0</v>
      </c>
    </row>
    <row r="121" spans="1:23" x14ac:dyDescent="0.3">
      <c r="A121">
        <v>3145446</v>
      </c>
      <c r="B121">
        <v>44.82</v>
      </c>
      <c r="C121" t="s">
        <v>334</v>
      </c>
      <c r="D121" t="s">
        <v>335</v>
      </c>
      <c r="E121" t="s">
        <v>23</v>
      </c>
      <c r="F121" t="s">
        <v>28</v>
      </c>
      <c r="G121">
        <v>2022</v>
      </c>
      <c r="H121" t="s">
        <v>336</v>
      </c>
      <c r="K121" t="s">
        <v>25</v>
      </c>
      <c r="L121" t="s">
        <v>26</v>
      </c>
      <c r="M121" t="b">
        <v>1</v>
      </c>
      <c r="N121" t="s">
        <v>337</v>
      </c>
      <c r="Q121" t="b">
        <v>1</v>
      </c>
      <c r="S121" t="str">
        <f>"9780310734963"</f>
        <v>9780310734963</v>
      </c>
      <c r="T121" t="str">
        <f>"9780310744276"</f>
        <v>9780310744276</v>
      </c>
      <c r="U121" t="b">
        <v>0</v>
      </c>
      <c r="W121" t="b">
        <v>0</v>
      </c>
    </row>
    <row r="122" spans="1:23" x14ac:dyDescent="0.3">
      <c r="A122">
        <v>3145445</v>
      </c>
      <c r="B122">
        <v>68.97</v>
      </c>
      <c r="C122" t="s">
        <v>338</v>
      </c>
      <c r="E122" t="s">
        <v>23</v>
      </c>
      <c r="F122" t="s">
        <v>28</v>
      </c>
      <c r="G122">
        <v>2021</v>
      </c>
      <c r="H122" t="s">
        <v>34</v>
      </c>
      <c r="K122" t="s">
        <v>25</v>
      </c>
      <c r="L122" t="s">
        <v>145</v>
      </c>
      <c r="M122" t="b">
        <v>1</v>
      </c>
      <c r="N122" t="s">
        <v>339</v>
      </c>
      <c r="P122" t="s">
        <v>36</v>
      </c>
      <c r="Q122" t="b">
        <v>1</v>
      </c>
      <c r="S122" t="str">
        <f>"9780310734956"</f>
        <v>9780310734956</v>
      </c>
      <c r="T122" t="str">
        <f>"9780310744269"</f>
        <v>9780310744269</v>
      </c>
      <c r="U122" t="b">
        <v>0</v>
      </c>
      <c r="W122" t="b">
        <v>0</v>
      </c>
    </row>
    <row r="123" spans="1:23" x14ac:dyDescent="0.3">
      <c r="A123">
        <v>3145444</v>
      </c>
      <c r="B123">
        <v>17.22</v>
      </c>
      <c r="C123" t="s">
        <v>340</v>
      </c>
      <c r="D123" t="s">
        <v>93</v>
      </c>
      <c r="E123" t="s">
        <v>23</v>
      </c>
      <c r="F123" t="s">
        <v>28</v>
      </c>
      <c r="G123">
        <v>2021</v>
      </c>
      <c r="H123" t="s">
        <v>341</v>
      </c>
      <c r="K123" t="s">
        <v>25</v>
      </c>
      <c r="L123" t="s">
        <v>26</v>
      </c>
      <c r="M123" t="b">
        <v>1</v>
      </c>
      <c r="N123" t="s">
        <v>44</v>
      </c>
      <c r="P123" t="s">
        <v>314</v>
      </c>
      <c r="Q123" t="b">
        <v>1</v>
      </c>
      <c r="S123" t="str">
        <f>"9780310771036"</f>
        <v>9780310771036</v>
      </c>
      <c r="T123" t="str">
        <f>"9780310771050"</f>
        <v>9780310771050</v>
      </c>
      <c r="U123" t="b">
        <v>0</v>
      </c>
      <c r="W123" t="b">
        <v>0</v>
      </c>
    </row>
    <row r="124" spans="1:23" x14ac:dyDescent="0.3">
      <c r="A124">
        <v>3145443</v>
      </c>
      <c r="B124">
        <v>17.22</v>
      </c>
      <c r="C124" t="s">
        <v>342</v>
      </c>
      <c r="D124" t="s">
        <v>93</v>
      </c>
      <c r="E124" t="s">
        <v>23</v>
      </c>
      <c r="F124" t="s">
        <v>28</v>
      </c>
      <c r="G124">
        <v>2021</v>
      </c>
      <c r="H124" t="s">
        <v>341</v>
      </c>
      <c r="K124" t="s">
        <v>25</v>
      </c>
      <c r="L124" t="s">
        <v>26</v>
      </c>
      <c r="M124" t="b">
        <v>1</v>
      </c>
      <c r="N124" t="s">
        <v>44</v>
      </c>
      <c r="P124" t="s">
        <v>314</v>
      </c>
      <c r="Q124" t="b">
        <v>1</v>
      </c>
      <c r="S124" t="str">
        <f>"9780310771005"</f>
        <v>9780310771005</v>
      </c>
      <c r="T124" t="str">
        <f>"9780310771029"</f>
        <v>9780310771029</v>
      </c>
      <c r="U124" t="b">
        <v>0</v>
      </c>
      <c r="W124" t="b">
        <v>0</v>
      </c>
    </row>
    <row r="125" spans="1:23" x14ac:dyDescent="0.3">
      <c r="A125">
        <v>3145442</v>
      </c>
      <c r="B125">
        <v>65.52</v>
      </c>
      <c r="C125" t="s">
        <v>343</v>
      </c>
      <c r="D125" t="s">
        <v>344</v>
      </c>
      <c r="E125" t="s">
        <v>23</v>
      </c>
      <c r="F125" t="s">
        <v>28</v>
      </c>
      <c r="G125">
        <v>2021</v>
      </c>
      <c r="H125" t="s">
        <v>91</v>
      </c>
      <c r="K125" t="s">
        <v>25</v>
      </c>
      <c r="L125" t="s">
        <v>145</v>
      </c>
      <c r="M125" t="b">
        <v>1</v>
      </c>
      <c r="N125" t="s">
        <v>210</v>
      </c>
      <c r="Q125" t="b">
        <v>0</v>
      </c>
      <c r="S125" t="str">
        <f>"9780310768302"</f>
        <v>9780310768302</v>
      </c>
      <c r="T125" t="str">
        <f>"9780310768388"</f>
        <v>9780310768388</v>
      </c>
      <c r="U125" t="b">
        <v>0</v>
      </c>
      <c r="W125" t="b">
        <v>0</v>
      </c>
    </row>
    <row r="126" spans="1:23" x14ac:dyDescent="0.3">
      <c r="A126">
        <v>3145441</v>
      </c>
      <c r="B126">
        <v>62.07</v>
      </c>
      <c r="C126" t="s">
        <v>345</v>
      </c>
      <c r="D126" t="s">
        <v>346</v>
      </c>
      <c r="E126" t="s">
        <v>23</v>
      </c>
      <c r="F126" t="s">
        <v>28</v>
      </c>
      <c r="G126">
        <v>2021</v>
      </c>
      <c r="H126" t="s">
        <v>82</v>
      </c>
      <c r="K126" t="s">
        <v>25</v>
      </c>
      <c r="L126" t="s">
        <v>26</v>
      </c>
      <c r="M126" t="b">
        <v>1</v>
      </c>
      <c r="N126" t="s">
        <v>44</v>
      </c>
      <c r="Q126" t="b">
        <v>0</v>
      </c>
      <c r="S126" t="str">
        <f>"9780310767756"</f>
        <v>9780310767756</v>
      </c>
      <c r="T126" t="str">
        <f>"9780310767763"</f>
        <v>9780310767763</v>
      </c>
      <c r="U126" t="b">
        <v>0</v>
      </c>
      <c r="W126" t="b">
        <v>0</v>
      </c>
    </row>
    <row r="127" spans="1:23" x14ac:dyDescent="0.3">
      <c r="A127">
        <v>3145440</v>
      </c>
      <c r="B127">
        <v>13.77</v>
      </c>
      <c r="C127" t="s">
        <v>347</v>
      </c>
      <c r="D127" t="s">
        <v>348</v>
      </c>
      <c r="E127" t="s">
        <v>23</v>
      </c>
      <c r="F127" t="s">
        <v>28</v>
      </c>
      <c r="G127">
        <v>2021</v>
      </c>
      <c r="H127" t="s">
        <v>41</v>
      </c>
      <c r="K127" t="s">
        <v>25</v>
      </c>
      <c r="L127" t="s">
        <v>26</v>
      </c>
      <c r="M127" t="b">
        <v>1</v>
      </c>
      <c r="N127" t="s">
        <v>339</v>
      </c>
      <c r="P127" t="s">
        <v>36</v>
      </c>
      <c r="Q127" t="b">
        <v>1</v>
      </c>
      <c r="S127" t="str">
        <f>"9780310764564"</f>
        <v>9780310764564</v>
      </c>
      <c r="T127" t="str">
        <f>"9780310764533"</f>
        <v>9780310764533</v>
      </c>
      <c r="U127" t="b">
        <v>0</v>
      </c>
      <c r="W127" t="b">
        <v>0</v>
      </c>
    </row>
    <row r="128" spans="1:23" x14ac:dyDescent="0.3">
      <c r="A128">
        <v>3145439</v>
      </c>
      <c r="B128">
        <v>17.22</v>
      </c>
      <c r="C128" t="s">
        <v>349</v>
      </c>
      <c r="E128" t="s">
        <v>23</v>
      </c>
      <c r="F128" t="s">
        <v>28</v>
      </c>
      <c r="G128">
        <v>2014</v>
      </c>
      <c r="H128" t="s">
        <v>350</v>
      </c>
      <c r="K128" t="s">
        <v>25</v>
      </c>
      <c r="L128" t="s">
        <v>26</v>
      </c>
      <c r="M128" t="b">
        <v>1</v>
      </c>
      <c r="N128" t="s">
        <v>339</v>
      </c>
      <c r="P128" t="s">
        <v>36</v>
      </c>
      <c r="Q128" t="b">
        <v>1</v>
      </c>
      <c r="S128" t="str">
        <f>"9780310734833"</f>
        <v>9780310734833</v>
      </c>
      <c r="T128" t="str">
        <f>"9780310736936"</f>
        <v>9780310736936</v>
      </c>
      <c r="U128" t="b">
        <v>0</v>
      </c>
      <c r="W128" t="b">
        <v>0</v>
      </c>
    </row>
    <row r="129" spans="1:23" x14ac:dyDescent="0.3">
      <c r="A129">
        <v>3145438</v>
      </c>
      <c r="B129">
        <v>17.22</v>
      </c>
      <c r="C129" t="s">
        <v>351</v>
      </c>
      <c r="D129" t="s">
        <v>93</v>
      </c>
      <c r="E129" t="s">
        <v>23</v>
      </c>
      <c r="F129" t="s">
        <v>28</v>
      </c>
      <c r="G129">
        <v>2021</v>
      </c>
      <c r="H129" t="s">
        <v>341</v>
      </c>
      <c r="K129" t="s">
        <v>25</v>
      </c>
      <c r="L129" t="s">
        <v>26</v>
      </c>
      <c r="M129" t="b">
        <v>1</v>
      </c>
      <c r="N129" t="s">
        <v>44</v>
      </c>
      <c r="P129" t="s">
        <v>314</v>
      </c>
      <c r="Q129" t="b">
        <v>1</v>
      </c>
      <c r="S129" t="str">
        <f>"9780310770978"</f>
        <v>9780310770978</v>
      </c>
      <c r="T129" t="str">
        <f>"9780310770992"</f>
        <v>9780310770992</v>
      </c>
      <c r="U129" t="b">
        <v>0</v>
      </c>
      <c r="W129" t="b">
        <v>0</v>
      </c>
    </row>
    <row r="130" spans="1:23" x14ac:dyDescent="0.3">
      <c r="A130">
        <v>3145437</v>
      </c>
      <c r="B130">
        <v>17.22</v>
      </c>
      <c r="C130" t="s">
        <v>352</v>
      </c>
      <c r="D130" t="s">
        <v>93</v>
      </c>
      <c r="E130" t="s">
        <v>23</v>
      </c>
      <c r="F130" t="s">
        <v>28</v>
      </c>
      <c r="G130">
        <v>2021</v>
      </c>
      <c r="H130" t="s">
        <v>341</v>
      </c>
      <c r="K130" t="s">
        <v>25</v>
      </c>
      <c r="L130" t="s">
        <v>26</v>
      </c>
      <c r="M130" t="b">
        <v>1</v>
      </c>
      <c r="N130" t="s">
        <v>44</v>
      </c>
      <c r="P130" t="s">
        <v>314</v>
      </c>
      <c r="Q130" t="b">
        <v>1</v>
      </c>
      <c r="S130" t="str">
        <f>"9780310770947"</f>
        <v>9780310770947</v>
      </c>
      <c r="T130" t="str">
        <f>"9780310770961"</f>
        <v>9780310770961</v>
      </c>
      <c r="U130" t="b">
        <v>0</v>
      </c>
      <c r="W130" t="b">
        <v>0</v>
      </c>
    </row>
    <row r="131" spans="1:23" x14ac:dyDescent="0.3">
      <c r="A131">
        <v>3145436</v>
      </c>
      <c r="B131">
        <v>65.52</v>
      </c>
      <c r="C131" t="s">
        <v>353</v>
      </c>
      <c r="E131" t="s">
        <v>23</v>
      </c>
      <c r="F131" t="s">
        <v>28</v>
      </c>
      <c r="G131">
        <v>2021</v>
      </c>
      <c r="H131" t="s">
        <v>354</v>
      </c>
      <c r="K131" t="s">
        <v>25</v>
      </c>
      <c r="L131" t="s">
        <v>26</v>
      </c>
      <c r="M131" t="b">
        <v>1</v>
      </c>
      <c r="N131" t="s">
        <v>44</v>
      </c>
      <c r="P131" t="s">
        <v>199</v>
      </c>
      <c r="Q131" t="b">
        <v>1</v>
      </c>
      <c r="S131" t="str">
        <f>"9780310770831"</f>
        <v>9780310770831</v>
      </c>
      <c r="T131" t="str">
        <f>"9780310770848"</f>
        <v>9780310770848</v>
      </c>
      <c r="U131" t="b">
        <v>0</v>
      </c>
      <c r="W131" t="b">
        <v>0</v>
      </c>
    </row>
    <row r="132" spans="1:23" x14ac:dyDescent="0.3">
      <c r="A132">
        <v>3145435</v>
      </c>
      <c r="B132">
        <v>31.02</v>
      </c>
      <c r="C132" t="s">
        <v>355</v>
      </c>
      <c r="E132" t="s">
        <v>23</v>
      </c>
      <c r="F132" t="s">
        <v>28</v>
      </c>
      <c r="G132">
        <v>2021</v>
      </c>
      <c r="H132" t="s">
        <v>341</v>
      </c>
      <c r="K132" t="s">
        <v>25</v>
      </c>
      <c r="L132" t="s">
        <v>26</v>
      </c>
      <c r="M132" t="b">
        <v>1</v>
      </c>
      <c r="N132" t="s">
        <v>146</v>
      </c>
      <c r="P132" t="s">
        <v>146</v>
      </c>
      <c r="Q132" t="b">
        <v>0</v>
      </c>
      <c r="S132" t="str">
        <f>"9780310770633"</f>
        <v>9780310770633</v>
      </c>
      <c r="T132" t="str">
        <f>"9780310770640"</f>
        <v>9780310770640</v>
      </c>
      <c r="U132" t="b">
        <v>0</v>
      </c>
      <c r="W132" t="b">
        <v>0</v>
      </c>
    </row>
    <row r="133" spans="1:23" x14ac:dyDescent="0.3">
      <c r="A133">
        <v>3145434</v>
      </c>
      <c r="B133">
        <v>65.52</v>
      </c>
      <c r="C133" t="s">
        <v>356</v>
      </c>
      <c r="E133" t="s">
        <v>23</v>
      </c>
      <c r="F133" t="s">
        <v>28</v>
      </c>
      <c r="G133">
        <v>2021</v>
      </c>
      <c r="H133" t="s">
        <v>357</v>
      </c>
      <c r="K133" t="s">
        <v>25</v>
      </c>
      <c r="L133" t="s">
        <v>26</v>
      </c>
      <c r="M133" t="b">
        <v>1</v>
      </c>
      <c r="N133" t="s">
        <v>231</v>
      </c>
      <c r="Q133" t="b">
        <v>1</v>
      </c>
      <c r="S133" t="str">
        <f>"9780310770084"</f>
        <v>9780310770084</v>
      </c>
      <c r="T133" t="str">
        <f>"9780310770091"</f>
        <v>9780310770091</v>
      </c>
      <c r="U133" t="b">
        <v>0</v>
      </c>
      <c r="W133" t="b">
        <v>0</v>
      </c>
    </row>
    <row r="134" spans="1:23" x14ac:dyDescent="0.3">
      <c r="A134">
        <v>3145433</v>
      </c>
      <c r="B134">
        <v>62.07</v>
      </c>
      <c r="C134" t="s">
        <v>358</v>
      </c>
      <c r="E134" t="s">
        <v>23</v>
      </c>
      <c r="F134" t="s">
        <v>28</v>
      </c>
      <c r="G134">
        <v>2021</v>
      </c>
      <c r="H134" t="s">
        <v>252</v>
      </c>
      <c r="K134" t="s">
        <v>25</v>
      </c>
      <c r="L134" t="s">
        <v>26</v>
      </c>
      <c r="M134" t="b">
        <v>1</v>
      </c>
      <c r="N134" t="s">
        <v>210</v>
      </c>
      <c r="P134" t="s">
        <v>359</v>
      </c>
      <c r="Q134" t="b">
        <v>0</v>
      </c>
      <c r="S134" t="str">
        <f>"9780310769064"</f>
        <v>9780310769064</v>
      </c>
      <c r="T134" t="str">
        <f>"9780310769095"</f>
        <v>9780310769095</v>
      </c>
      <c r="U134" t="b">
        <v>0</v>
      </c>
      <c r="W134" t="b">
        <v>0</v>
      </c>
    </row>
    <row r="135" spans="1:23" x14ac:dyDescent="0.3">
      <c r="A135">
        <v>3145432</v>
      </c>
      <c r="B135">
        <v>65.52</v>
      </c>
      <c r="C135" t="s">
        <v>360</v>
      </c>
      <c r="E135" t="s">
        <v>23</v>
      </c>
      <c r="F135" t="s">
        <v>28</v>
      </c>
      <c r="G135">
        <v>2021</v>
      </c>
      <c r="H135" t="s">
        <v>219</v>
      </c>
      <c r="K135" t="s">
        <v>25</v>
      </c>
      <c r="L135" t="s">
        <v>26</v>
      </c>
      <c r="M135" t="b">
        <v>1</v>
      </c>
      <c r="N135" t="s">
        <v>237</v>
      </c>
      <c r="Q135" t="b">
        <v>1</v>
      </c>
      <c r="S135" t="str">
        <f>"9780310769026"</f>
        <v>9780310769026</v>
      </c>
      <c r="T135" t="str">
        <f>"9780310769019"</f>
        <v>9780310769019</v>
      </c>
      <c r="U135" t="b">
        <v>0</v>
      </c>
      <c r="W135" t="b">
        <v>0</v>
      </c>
    </row>
    <row r="136" spans="1:23" x14ac:dyDescent="0.3">
      <c r="A136">
        <v>3145431</v>
      </c>
      <c r="B136">
        <v>37.92</v>
      </c>
      <c r="C136" t="s">
        <v>361</v>
      </c>
      <c r="D136" t="s">
        <v>362</v>
      </c>
      <c r="E136" t="s">
        <v>23</v>
      </c>
      <c r="F136" t="s">
        <v>28</v>
      </c>
      <c r="G136">
        <v>2021</v>
      </c>
      <c r="H136" t="s">
        <v>75</v>
      </c>
      <c r="K136" t="s">
        <v>25</v>
      </c>
      <c r="L136" t="s">
        <v>26</v>
      </c>
      <c r="M136" t="b">
        <v>1</v>
      </c>
      <c r="N136" t="s">
        <v>317</v>
      </c>
      <c r="P136" t="s">
        <v>363</v>
      </c>
      <c r="Q136" t="b">
        <v>0</v>
      </c>
      <c r="S136" t="str">
        <f>"9780310768265"</f>
        <v>9780310768265</v>
      </c>
      <c r="T136" t="str">
        <f>"9780310768326"</f>
        <v>9780310768326</v>
      </c>
      <c r="U136" t="b">
        <v>0</v>
      </c>
      <c r="W136" t="b">
        <v>0</v>
      </c>
    </row>
    <row r="137" spans="1:23" x14ac:dyDescent="0.3">
      <c r="A137">
        <v>3145430</v>
      </c>
      <c r="B137">
        <v>17.22</v>
      </c>
      <c r="C137" t="s">
        <v>364</v>
      </c>
      <c r="E137" t="s">
        <v>23</v>
      </c>
      <c r="F137" t="s">
        <v>28</v>
      </c>
      <c r="G137">
        <v>2021</v>
      </c>
      <c r="H137" t="s">
        <v>331</v>
      </c>
      <c r="K137" t="s">
        <v>25</v>
      </c>
      <c r="L137" t="s">
        <v>26</v>
      </c>
      <c r="M137" t="b">
        <v>1</v>
      </c>
      <c r="N137" t="s">
        <v>339</v>
      </c>
      <c r="P137" t="s">
        <v>36</v>
      </c>
      <c r="Q137" t="b">
        <v>1</v>
      </c>
      <c r="S137" t="str">
        <f>"9780310764472"</f>
        <v>9780310764472</v>
      </c>
      <c r="T137" t="str">
        <f>"9780310764519"</f>
        <v>9780310764519</v>
      </c>
      <c r="U137" t="b">
        <v>0</v>
      </c>
      <c r="W137" t="b">
        <v>0</v>
      </c>
    </row>
    <row r="138" spans="1:23" x14ac:dyDescent="0.3">
      <c r="A138">
        <v>3145429</v>
      </c>
      <c r="B138">
        <v>34.47</v>
      </c>
      <c r="C138" t="s">
        <v>365</v>
      </c>
      <c r="E138" t="s">
        <v>23</v>
      </c>
      <c r="F138" t="s">
        <v>28</v>
      </c>
      <c r="G138">
        <v>2020</v>
      </c>
      <c r="H138" t="s">
        <v>336</v>
      </c>
      <c r="K138" t="s">
        <v>25</v>
      </c>
      <c r="L138" t="s">
        <v>26</v>
      </c>
      <c r="M138" t="b">
        <v>1</v>
      </c>
      <c r="N138" t="s">
        <v>366</v>
      </c>
      <c r="Q138" t="b">
        <v>1</v>
      </c>
      <c r="S138" t="str">
        <f>"9780310768395"</f>
        <v>9780310768395</v>
      </c>
      <c r="T138" t="str">
        <f>"9780310768432"</f>
        <v>9780310768432</v>
      </c>
      <c r="U138" t="b">
        <v>0</v>
      </c>
      <c r="W138" t="b">
        <v>0</v>
      </c>
    </row>
    <row r="139" spans="1:23" x14ac:dyDescent="0.3">
      <c r="A139">
        <v>3145428</v>
      </c>
      <c r="B139">
        <v>34.47</v>
      </c>
      <c r="C139" t="s">
        <v>367</v>
      </c>
      <c r="E139" t="s">
        <v>23</v>
      </c>
      <c r="F139" t="s">
        <v>28</v>
      </c>
      <c r="G139">
        <v>2020</v>
      </c>
      <c r="H139" t="s">
        <v>368</v>
      </c>
      <c r="K139" t="s">
        <v>25</v>
      </c>
      <c r="L139" t="s">
        <v>26</v>
      </c>
      <c r="M139" t="b">
        <v>1</v>
      </c>
      <c r="N139" t="s">
        <v>210</v>
      </c>
      <c r="Q139" t="b">
        <v>0</v>
      </c>
      <c r="S139" t="str">
        <f>"9780310770749"</f>
        <v>9780310770749</v>
      </c>
      <c r="T139" t="str">
        <f>"9780310770756"</f>
        <v>9780310770756</v>
      </c>
      <c r="U139" t="b">
        <v>0</v>
      </c>
      <c r="W139" t="b">
        <v>0</v>
      </c>
    </row>
    <row r="140" spans="1:23" x14ac:dyDescent="0.3">
      <c r="A140">
        <v>3145427</v>
      </c>
      <c r="B140">
        <v>51.72</v>
      </c>
      <c r="C140" t="s">
        <v>369</v>
      </c>
      <c r="D140" t="s">
        <v>370</v>
      </c>
      <c r="E140" t="s">
        <v>23</v>
      </c>
      <c r="F140" t="s">
        <v>28</v>
      </c>
      <c r="G140">
        <v>2020</v>
      </c>
      <c r="H140" t="s">
        <v>91</v>
      </c>
      <c r="K140" t="s">
        <v>25</v>
      </c>
      <c r="L140" t="s">
        <v>26</v>
      </c>
      <c r="M140" t="b">
        <v>1</v>
      </c>
      <c r="N140" t="s">
        <v>329</v>
      </c>
      <c r="Q140" t="b">
        <v>0</v>
      </c>
      <c r="S140" t="str">
        <f>"9780310769545"</f>
        <v>9780310769545</v>
      </c>
      <c r="T140" t="str">
        <f>"9780310769552"</f>
        <v>9780310769552</v>
      </c>
      <c r="U140" t="b">
        <v>0</v>
      </c>
      <c r="W140" t="b">
        <v>0</v>
      </c>
    </row>
    <row r="141" spans="1:23" x14ac:dyDescent="0.3">
      <c r="A141">
        <v>3145426</v>
      </c>
      <c r="B141">
        <v>62.07</v>
      </c>
      <c r="C141" t="s">
        <v>371</v>
      </c>
      <c r="E141" t="s">
        <v>23</v>
      </c>
      <c r="F141" t="s">
        <v>28</v>
      </c>
      <c r="G141">
        <v>2020</v>
      </c>
      <c r="H141" t="s">
        <v>38</v>
      </c>
      <c r="K141" t="s">
        <v>25</v>
      </c>
      <c r="L141" t="s">
        <v>26</v>
      </c>
      <c r="M141" t="b">
        <v>1</v>
      </c>
      <c r="N141" t="s">
        <v>372</v>
      </c>
      <c r="Q141" t="b">
        <v>1</v>
      </c>
      <c r="S141" t="str">
        <f>"9780310768708"</f>
        <v>9780310768708</v>
      </c>
      <c r="T141" t="str">
        <f>"9780310768739"</f>
        <v>9780310768739</v>
      </c>
      <c r="U141" t="b">
        <v>0</v>
      </c>
      <c r="W141" t="b">
        <v>0</v>
      </c>
    </row>
    <row r="142" spans="1:23" x14ac:dyDescent="0.3">
      <c r="A142">
        <v>3145425</v>
      </c>
      <c r="B142">
        <v>58.62</v>
      </c>
      <c r="C142" t="s">
        <v>373</v>
      </c>
      <c r="D142" t="s">
        <v>374</v>
      </c>
      <c r="E142" t="s">
        <v>23</v>
      </c>
      <c r="F142" t="s">
        <v>28</v>
      </c>
      <c r="G142">
        <v>2020</v>
      </c>
      <c r="H142" t="s">
        <v>375</v>
      </c>
      <c r="K142" t="s">
        <v>25</v>
      </c>
      <c r="L142" t="s">
        <v>145</v>
      </c>
      <c r="M142" t="b">
        <v>1</v>
      </c>
      <c r="N142" t="s">
        <v>44</v>
      </c>
      <c r="P142" t="s">
        <v>376</v>
      </c>
      <c r="Q142" t="b">
        <v>0</v>
      </c>
      <c r="S142" t="str">
        <f>"9780310766797"</f>
        <v>9780310766797</v>
      </c>
      <c r="T142" t="str">
        <f>"9780310766728"</f>
        <v>9780310766728</v>
      </c>
      <c r="U142" t="b">
        <v>0</v>
      </c>
      <c r="W142" t="b">
        <v>0</v>
      </c>
    </row>
    <row r="143" spans="1:23" x14ac:dyDescent="0.3">
      <c r="A143">
        <v>3145424</v>
      </c>
      <c r="B143">
        <v>55.17</v>
      </c>
      <c r="C143" t="s">
        <v>377</v>
      </c>
      <c r="E143" t="s">
        <v>23</v>
      </c>
      <c r="F143" t="s">
        <v>28</v>
      </c>
      <c r="G143">
        <v>2020</v>
      </c>
      <c r="H143" t="s">
        <v>316</v>
      </c>
      <c r="K143" t="s">
        <v>25</v>
      </c>
      <c r="L143" t="s">
        <v>26</v>
      </c>
      <c r="M143" t="b">
        <v>1</v>
      </c>
      <c r="N143" t="s">
        <v>378</v>
      </c>
      <c r="Q143" t="b">
        <v>1</v>
      </c>
      <c r="S143" t="str">
        <f>"9780310768883"</f>
        <v>9780310768883</v>
      </c>
      <c r="T143" t="str">
        <f>"9780310766612"</f>
        <v>9780310766612</v>
      </c>
      <c r="U143" t="b">
        <v>0</v>
      </c>
      <c r="W143" t="b">
        <v>0</v>
      </c>
    </row>
    <row r="144" spans="1:23" x14ac:dyDescent="0.3">
      <c r="A144">
        <v>3145423</v>
      </c>
      <c r="B144">
        <v>13.77</v>
      </c>
      <c r="C144" t="s">
        <v>379</v>
      </c>
      <c r="E144" t="s">
        <v>23</v>
      </c>
      <c r="F144" t="s">
        <v>28</v>
      </c>
      <c r="G144">
        <v>2020</v>
      </c>
      <c r="H144" t="s">
        <v>41</v>
      </c>
      <c r="K144" t="s">
        <v>25</v>
      </c>
      <c r="L144" t="s">
        <v>26</v>
      </c>
      <c r="M144" t="b">
        <v>1</v>
      </c>
      <c r="N144" t="s">
        <v>339</v>
      </c>
      <c r="P144" t="s">
        <v>36</v>
      </c>
      <c r="Q144" t="b">
        <v>1</v>
      </c>
      <c r="S144" t="str">
        <f>"9780310763796"</f>
        <v>9780310763796</v>
      </c>
      <c r="T144" t="str">
        <f>"9780310763840"</f>
        <v>9780310763840</v>
      </c>
      <c r="U144" t="b">
        <v>0</v>
      </c>
      <c r="W144" t="b">
        <v>0</v>
      </c>
    </row>
    <row r="145" spans="1:23" x14ac:dyDescent="0.3">
      <c r="A145">
        <v>3145422</v>
      </c>
      <c r="B145">
        <v>62.07</v>
      </c>
      <c r="C145" t="s">
        <v>380</v>
      </c>
      <c r="E145" t="s">
        <v>23</v>
      </c>
      <c r="F145" t="s">
        <v>28</v>
      </c>
      <c r="G145">
        <v>2020</v>
      </c>
      <c r="H145" t="s">
        <v>381</v>
      </c>
      <c r="K145" t="s">
        <v>25</v>
      </c>
      <c r="L145" t="s">
        <v>26</v>
      </c>
      <c r="M145" t="b">
        <v>1</v>
      </c>
      <c r="N145" t="s">
        <v>382</v>
      </c>
      <c r="Q145" t="b">
        <v>0</v>
      </c>
      <c r="S145" t="str">
        <f>"9780310761129"</f>
        <v>9780310761129</v>
      </c>
      <c r="T145" t="str">
        <f>"9780310761136"</f>
        <v>9780310761136</v>
      </c>
      <c r="U145" t="b">
        <v>0</v>
      </c>
      <c r="W145" t="b">
        <v>0</v>
      </c>
    </row>
    <row r="146" spans="1:23" x14ac:dyDescent="0.3">
      <c r="A146">
        <v>3145421</v>
      </c>
      <c r="B146">
        <v>58.62</v>
      </c>
      <c r="C146" t="s">
        <v>383</v>
      </c>
      <c r="D146" t="s">
        <v>384</v>
      </c>
      <c r="E146" t="s">
        <v>23</v>
      </c>
      <c r="F146" t="s">
        <v>28</v>
      </c>
      <c r="G146">
        <v>2020</v>
      </c>
      <c r="H146" t="s">
        <v>297</v>
      </c>
      <c r="K146" t="s">
        <v>25</v>
      </c>
      <c r="L146" t="s">
        <v>26</v>
      </c>
      <c r="M146" t="b">
        <v>1</v>
      </c>
      <c r="N146" t="s">
        <v>385</v>
      </c>
      <c r="Q146" t="b">
        <v>0</v>
      </c>
      <c r="S146" t="str">
        <f>"9780310769705"</f>
        <v>9780310769705</v>
      </c>
      <c r="T146" t="str">
        <f>"9780310769712"</f>
        <v>9780310769712</v>
      </c>
      <c r="U146" t="b">
        <v>0</v>
      </c>
      <c r="W146" t="b">
        <v>0</v>
      </c>
    </row>
    <row r="147" spans="1:23" x14ac:dyDescent="0.3">
      <c r="A147">
        <v>3145420</v>
      </c>
      <c r="B147">
        <v>34.47</v>
      </c>
      <c r="C147" t="s">
        <v>386</v>
      </c>
      <c r="E147" t="s">
        <v>23</v>
      </c>
      <c r="F147" t="s">
        <v>28</v>
      </c>
      <c r="G147">
        <v>2020</v>
      </c>
      <c r="H147" t="s">
        <v>243</v>
      </c>
      <c r="K147" t="s">
        <v>25</v>
      </c>
      <c r="L147" t="s">
        <v>26</v>
      </c>
      <c r="M147" t="b">
        <v>1</v>
      </c>
      <c r="N147" t="s">
        <v>39</v>
      </c>
      <c r="P147" t="s">
        <v>36</v>
      </c>
      <c r="Q147" t="b">
        <v>1</v>
      </c>
      <c r="S147" t="str">
        <f>"9780310769583"</f>
        <v>9780310769583</v>
      </c>
      <c r="T147" t="str">
        <f>"9780310769590"</f>
        <v>9780310769590</v>
      </c>
      <c r="U147" t="b">
        <v>0</v>
      </c>
      <c r="W147" t="b">
        <v>0</v>
      </c>
    </row>
    <row r="148" spans="1:23" x14ac:dyDescent="0.3">
      <c r="A148">
        <v>3145419</v>
      </c>
      <c r="B148">
        <v>62.07</v>
      </c>
      <c r="C148" t="s">
        <v>387</v>
      </c>
      <c r="D148" t="s">
        <v>388</v>
      </c>
      <c r="E148" t="s">
        <v>23</v>
      </c>
      <c r="F148" t="s">
        <v>28</v>
      </c>
      <c r="G148">
        <v>2020</v>
      </c>
      <c r="H148" t="s">
        <v>222</v>
      </c>
      <c r="K148" t="s">
        <v>25</v>
      </c>
      <c r="L148" t="s">
        <v>26</v>
      </c>
      <c r="M148" t="b">
        <v>1</v>
      </c>
      <c r="N148" t="s">
        <v>389</v>
      </c>
      <c r="Q148" t="b">
        <v>0</v>
      </c>
      <c r="S148" t="str">
        <f>"9780310769323"</f>
        <v>9780310769323</v>
      </c>
      <c r="T148" t="str">
        <f>"9780310769330"</f>
        <v>9780310769330</v>
      </c>
      <c r="U148" t="b">
        <v>0</v>
      </c>
      <c r="W148" t="b">
        <v>0</v>
      </c>
    </row>
    <row r="149" spans="1:23" x14ac:dyDescent="0.3">
      <c r="A149">
        <v>3145418</v>
      </c>
      <c r="B149">
        <v>34.47</v>
      </c>
      <c r="C149" t="s">
        <v>390</v>
      </c>
      <c r="E149" t="s">
        <v>23</v>
      </c>
      <c r="F149" t="s">
        <v>28</v>
      </c>
      <c r="G149">
        <v>2020</v>
      </c>
      <c r="H149" t="s">
        <v>357</v>
      </c>
      <c r="K149" t="s">
        <v>25</v>
      </c>
      <c r="L149" t="s">
        <v>26</v>
      </c>
      <c r="M149" t="b">
        <v>1</v>
      </c>
      <c r="N149" t="s">
        <v>44</v>
      </c>
      <c r="Q149" t="b">
        <v>1</v>
      </c>
      <c r="S149" t="str">
        <f>"9780310769347"</f>
        <v>9780310769347</v>
      </c>
      <c r="T149" t="str">
        <f>"9780310769316"</f>
        <v>9780310769316</v>
      </c>
      <c r="U149" t="b">
        <v>0</v>
      </c>
      <c r="W149" t="b">
        <v>0</v>
      </c>
    </row>
    <row r="150" spans="1:23" x14ac:dyDescent="0.3">
      <c r="A150">
        <v>3145417</v>
      </c>
      <c r="B150">
        <v>62.07</v>
      </c>
      <c r="C150" t="s">
        <v>391</v>
      </c>
      <c r="E150" t="s">
        <v>23</v>
      </c>
      <c r="F150" t="s">
        <v>28</v>
      </c>
      <c r="G150">
        <v>2020</v>
      </c>
      <c r="H150" t="s">
        <v>196</v>
      </c>
      <c r="K150" t="s">
        <v>25</v>
      </c>
      <c r="L150" t="s">
        <v>26</v>
      </c>
      <c r="M150" t="b">
        <v>1</v>
      </c>
      <c r="N150" t="s">
        <v>392</v>
      </c>
      <c r="Q150" t="b">
        <v>1</v>
      </c>
      <c r="S150" t="str">
        <f>"9780310768852"</f>
        <v>9780310768852</v>
      </c>
      <c r="T150" t="str">
        <f>"9780310768876"</f>
        <v>9780310768876</v>
      </c>
      <c r="U150" t="b">
        <v>0</v>
      </c>
      <c r="W150" t="b">
        <v>0</v>
      </c>
    </row>
    <row r="151" spans="1:23" x14ac:dyDescent="0.3">
      <c r="A151">
        <v>3145416</v>
      </c>
      <c r="B151">
        <v>62.07</v>
      </c>
      <c r="C151" t="s">
        <v>393</v>
      </c>
      <c r="D151" t="s">
        <v>394</v>
      </c>
      <c r="E151" t="s">
        <v>23</v>
      </c>
      <c r="F151" t="s">
        <v>28</v>
      </c>
      <c r="G151">
        <v>2020</v>
      </c>
      <c r="H151" t="s">
        <v>395</v>
      </c>
      <c r="K151" t="s">
        <v>25</v>
      </c>
      <c r="L151" t="s">
        <v>26</v>
      </c>
      <c r="M151" t="b">
        <v>1</v>
      </c>
      <c r="N151" t="s">
        <v>44</v>
      </c>
      <c r="Q151" t="b">
        <v>1</v>
      </c>
      <c r="S151" t="str">
        <f>"9780310768814"</f>
        <v>9780310768814</v>
      </c>
      <c r="T151" t="str">
        <f>"9780310768807"</f>
        <v>9780310768807</v>
      </c>
      <c r="U151" t="b">
        <v>0</v>
      </c>
      <c r="W151" t="b">
        <v>0</v>
      </c>
    </row>
    <row r="152" spans="1:23" x14ac:dyDescent="0.3">
      <c r="A152">
        <v>3145415</v>
      </c>
      <c r="B152">
        <v>34.47</v>
      </c>
      <c r="C152" t="s">
        <v>396</v>
      </c>
      <c r="D152" t="s">
        <v>397</v>
      </c>
      <c r="E152" t="s">
        <v>23</v>
      </c>
      <c r="F152" t="s">
        <v>28</v>
      </c>
      <c r="G152">
        <v>2020</v>
      </c>
      <c r="H152" t="s">
        <v>34</v>
      </c>
      <c r="K152" t="s">
        <v>25</v>
      </c>
      <c r="L152" t="s">
        <v>26</v>
      </c>
      <c r="M152" t="b">
        <v>1</v>
      </c>
      <c r="N152" t="s">
        <v>39</v>
      </c>
      <c r="P152" t="s">
        <v>36</v>
      </c>
      <c r="Q152" t="b">
        <v>1</v>
      </c>
      <c r="S152" t="str">
        <f>"9780310768425"</f>
        <v>9780310768425</v>
      </c>
      <c r="T152" t="str">
        <f>"9780310768463"</f>
        <v>9780310768463</v>
      </c>
      <c r="U152" t="b">
        <v>0</v>
      </c>
      <c r="W152" t="b">
        <v>0</v>
      </c>
    </row>
    <row r="153" spans="1:23" x14ac:dyDescent="0.3">
      <c r="A153">
        <v>3145414</v>
      </c>
      <c r="B153">
        <v>34.47</v>
      </c>
      <c r="C153" t="s">
        <v>398</v>
      </c>
      <c r="E153" t="s">
        <v>23</v>
      </c>
      <c r="F153" t="s">
        <v>28</v>
      </c>
      <c r="G153">
        <v>2020</v>
      </c>
      <c r="H153" t="s">
        <v>265</v>
      </c>
      <c r="K153" t="s">
        <v>25</v>
      </c>
      <c r="L153" t="s">
        <v>26</v>
      </c>
      <c r="M153" t="b">
        <v>1</v>
      </c>
      <c r="N153" t="s">
        <v>44</v>
      </c>
      <c r="Q153" t="b">
        <v>1</v>
      </c>
      <c r="S153" t="str">
        <f>"9780310768357"</f>
        <v>9780310768357</v>
      </c>
      <c r="T153" t="str">
        <f>"9780310768456"</f>
        <v>9780310768456</v>
      </c>
      <c r="U153" t="b">
        <v>0</v>
      </c>
      <c r="W153" t="b">
        <v>0</v>
      </c>
    </row>
    <row r="154" spans="1:23" x14ac:dyDescent="0.3">
      <c r="A154">
        <v>3145413</v>
      </c>
      <c r="B154">
        <v>65.52</v>
      </c>
      <c r="C154" t="s">
        <v>399</v>
      </c>
      <c r="E154" t="s">
        <v>23</v>
      </c>
      <c r="F154" t="s">
        <v>28</v>
      </c>
      <c r="G154">
        <v>2020</v>
      </c>
      <c r="H154" t="s">
        <v>357</v>
      </c>
      <c r="K154" t="s">
        <v>25</v>
      </c>
      <c r="L154" t="s">
        <v>26</v>
      </c>
      <c r="M154" t="b">
        <v>1</v>
      </c>
      <c r="N154" t="s">
        <v>44</v>
      </c>
      <c r="P154" t="s">
        <v>199</v>
      </c>
      <c r="Q154" t="b">
        <v>1</v>
      </c>
      <c r="S154" t="str">
        <f>"9780310767558"</f>
        <v>9780310767558</v>
      </c>
      <c r="T154" t="str">
        <f>"9780310767701"</f>
        <v>9780310767701</v>
      </c>
      <c r="U154" t="b">
        <v>0</v>
      </c>
      <c r="W154" t="b">
        <v>0</v>
      </c>
    </row>
    <row r="155" spans="1:23" x14ac:dyDescent="0.3">
      <c r="A155">
        <v>3145412</v>
      </c>
      <c r="B155">
        <v>34.47</v>
      </c>
      <c r="C155" t="s">
        <v>400</v>
      </c>
      <c r="E155" t="s">
        <v>23</v>
      </c>
      <c r="F155" t="s">
        <v>28</v>
      </c>
      <c r="G155">
        <v>2020</v>
      </c>
      <c r="H155" t="s">
        <v>265</v>
      </c>
      <c r="K155" t="s">
        <v>25</v>
      </c>
      <c r="L155" t="s">
        <v>26</v>
      </c>
      <c r="M155" t="b">
        <v>1</v>
      </c>
      <c r="N155" t="s">
        <v>366</v>
      </c>
      <c r="Q155" t="b">
        <v>1</v>
      </c>
      <c r="S155" t="str">
        <f>"9780310767527"</f>
        <v>9780310767527</v>
      </c>
      <c r="T155" t="str">
        <f>"9780310767589"</f>
        <v>9780310767589</v>
      </c>
      <c r="U155" t="b">
        <v>0</v>
      </c>
      <c r="W155" t="b">
        <v>0</v>
      </c>
    </row>
    <row r="156" spans="1:23" x14ac:dyDescent="0.3">
      <c r="A156">
        <v>3145411</v>
      </c>
      <c r="B156">
        <v>62.07</v>
      </c>
      <c r="C156" t="s">
        <v>401</v>
      </c>
      <c r="E156" t="s">
        <v>23</v>
      </c>
      <c r="F156" t="s">
        <v>28</v>
      </c>
      <c r="G156">
        <v>2020</v>
      </c>
      <c r="H156" t="s">
        <v>402</v>
      </c>
      <c r="K156" t="s">
        <v>25</v>
      </c>
      <c r="L156" t="s">
        <v>26</v>
      </c>
      <c r="M156" t="b">
        <v>1</v>
      </c>
      <c r="N156" t="s">
        <v>403</v>
      </c>
      <c r="Q156" t="b">
        <v>1</v>
      </c>
      <c r="S156" t="str">
        <f>"9780310766605"</f>
        <v>9780310766605</v>
      </c>
      <c r="T156" t="str">
        <f>"9780310766636"</f>
        <v>9780310766636</v>
      </c>
      <c r="U156" t="b">
        <v>0</v>
      </c>
      <c r="W156" t="b">
        <v>0</v>
      </c>
    </row>
    <row r="157" spans="1:23" x14ac:dyDescent="0.3">
      <c r="A157">
        <v>3145410</v>
      </c>
      <c r="B157">
        <v>17.22</v>
      </c>
      <c r="C157" t="s">
        <v>404</v>
      </c>
      <c r="E157" t="s">
        <v>23</v>
      </c>
      <c r="F157" t="s">
        <v>28</v>
      </c>
      <c r="G157">
        <v>2020</v>
      </c>
      <c r="H157" t="s">
        <v>34</v>
      </c>
      <c r="K157" t="s">
        <v>25</v>
      </c>
      <c r="L157" t="s">
        <v>26</v>
      </c>
      <c r="M157" t="b">
        <v>1</v>
      </c>
      <c r="N157" t="s">
        <v>339</v>
      </c>
      <c r="P157" t="s">
        <v>36</v>
      </c>
      <c r="Q157" t="b">
        <v>1</v>
      </c>
      <c r="S157" t="str">
        <f>"9780310763727"</f>
        <v>9780310763727</v>
      </c>
      <c r="T157" t="str">
        <f>"9780310763772"</f>
        <v>9780310763772</v>
      </c>
      <c r="U157" t="b">
        <v>0</v>
      </c>
      <c r="W157" t="b">
        <v>0</v>
      </c>
    </row>
    <row r="158" spans="1:23" x14ac:dyDescent="0.3">
      <c r="A158">
        <v>3145409</v>
      </c>
      <c r="B158">
        <v>49.71</v>
      </c>
      <c r="C158" t="s">
        <v>405</v>
      </c>
      <c r="E158" t="s">
        <v>23</v>
      </c>
      <c r="F158" t="s">
        <v>28</v>
      </c>
      <c r="G158">
        <v>2020</v>
      </c>
      <c r="H158" t="s">
        <v>406</v>
      </c>
      <c r="K158" t="s">
        <v>25</v>
      </c>
      <c r="L158" t="s">
        <v>26</v>
      </c>
      <c r="M158" t="b">
        <v>1</v>
      </c>
      <c r="N158" t="s">
        <v>237</v>
      </c>
      <c r="Q158" t="b">
        <v>1</v>
      </c>
      <c r="T158" t="str">
        <f>"9780310762751"</f>
        <v>9780310762751</v>
      </c>
      <c r="U158" t="b">
        <v>0</v>
      </c>
      <c r="W158" t="b">
        <v>0</v>
      </c>
    </row>
    <row r="159" spans="1:23" x14ac:dyDescent="0.3">
      <c r="A159">
        <v>3145408</v>
      </c>
      <c r="B159">
        <v>34.47</v>
      </c>
      <c r="C159" t="s">
        <v>407</v>
      </c>
      <c r="E159" t="s">
        <v>23</v>
      </c>
      <c r="F159" t="s">
        <v>28</v>
      </c>
      <c r="G159">
        <v>2020</v>
      </c>
      <c r="H159" t="s">
        <v>168</v>
      </c>
      <c r="K159" t="s">
        <v>25</v>
      </c>
      <c r="L159" t="s">
        <v>26</v>
      </c>
      <c r="M159" t="b">
        <v>1</v>
      </c>
      <c r="N159" t="s">
        <v>408</v>
      </c>
      <c r="Q159" t="b">
        <v>0</v>
      </c>
      <c r="S159" t="str">
        <f>"9780310730774"</f>
        <v>9780310730774</v>
      </c>
      <c r="T159" t="str">
        <f>"9780310730798"</f>
        <v>9780310730798</v>
      </c>
      <c r="U159" t="b">
        <v>0</v>
      </c>
      <c r="W159" t="b">
        <v>0</v>
      </c>
    </row>
    <row r="160" spans="1:23" x14ac:dyDescent="0.3">
      <c r="A160">
        <v>3145407</v>
      </c>
      <c r="B160">
        <v>34.47</v>
      </c>
      <c r="C160" t="s">
        <v>409</v>
      </c>
      <c r="E160" t="s">
        <v>23</v>
      </c>
      <c r="F160" t="s">
        <v>28</v>
      </c>
      <c r="G160">
        <v>2020</v>
      </c>
      <c r="H160" t="s">
        <v>168</v>
      </c>
      <c r="K160" t="s">
        <v>25</v>
      </c>
      <c r="L160" t="s">
        <v>26</v>
      </c>
      <c r="M160" t="b">
        <v>1</v>
      </c>
      <c r="N160" t="s">
        <v>410</v>
      </c>
      <c r="P160" t="s">
        <v>36</v>
      </c>
      <c r="Q160" t="b">
        <v>1</v>
      </c>
      <c r="S160" t="str">
        <f>"9780310769224"</f>
        <v>9780310769224</v>
      </c>
      <c r="T160" t="str">
        <f>"9780310769255"</f>
        <v>9780310769255</v>
      </c>
      <c r="U160" t="b">
        <v>0</v>
      </c>
      <c r="W160" t="b">
        <v>0</v>
      </c>
    </row>
    <row r="161" spans="1:23" x14ac:dyDescent="0.3">
      <c r="A161">
        <v>3145406</v>
      </c>
      <c r="B161">
        <v>34.47</v>
      </c>
      <c r="C161" t="s">
        <v>411</v>
      </c>
      <c r="D161" t="s">
        <v>397</v>
      </c>
      <c r="E161" t="s">
        <v>23</v>
      </c>
      <c r="F161" t="s">
        <v>28</v>
      </c>
      <c r="G161">
        <v>2020</v>
      </c>
      <c r="H161" t="s">
        <v>38</v>
      </c>
      <c r="K161" t="s">
        <v>25</v>
      </c>
      <c r="L161" t="s">
        <v>26</v>
      </c>
      <c r="M161" t="b">
        <v>1</v>
      </c>
      <c r="N161" t="s">
        <v>39</v>
      </c>
      <c r="P161" t="s">
        <v>36</v>
      </c>
      <c r="Q161" t="b">
        <v>1</v>
      </c>
      <c r="S161" t="str">
        <f>"9780310769163"</f>
        <v>9780310769163</v>
      </c>
      <c r="T161" t="str">
        <f>"9780310769170"</f>
        <v>9780310769170</v>
      </c>
      <c r="U161" t="b">
        <v>0</v>
      </c>
      <c r="W161" t="b">
        <v>0</v>
      </c>
    </row>
    <row r="162" spans="1:23" x14ac:dyDescent="0.3">
      <c r="A162">
        <v>3145405</v>
      </c>
      <c r="B162">
        <v>34.47</v>
      </c>
      <c r="C162" t="s">
        <v>412</v>
      </c>
      <c r="D162" t="s">
        <v>397</v>
      </c>
      <c r="E162" t="s">
        <v>23</v>
      </c>
      <c r="F162" t="s">
        <v>28</v>
      </c>
      <c r="G162">
        <v>2020</v>
      </c>
      <c r="H162" t="s">
        <v>38</v>
      </c>
      <c r="K162" t="s">
        <v>25</v>
      </c>
      <c r="L162" t="s">
        <v>26</v>
      </c>
      <c r="M162" t="b">
        <v>1</v>
      </c>
      <c r="N162" t="s">
        <v>39</v>
      </c>
      <c r="P162" t="s">
        <v>36</v>
      </c>
      <c r="Q162" t="b">
        <v>1</v>
      </c>
      <c r="S162" t="str">
        <f>"9780310769132"</f>
        <v>9780310769132</v>
      </c>
      <c r="T162" t="str">
        <f>"9780310769149"</f>
        <v>9780310769149</v>
      </c>
      <c r="U162" t="b">
        <v>0</v>
      </c>
      <c r="W162" t="b">
        <v>0</v>
      </c>
    </row>
    <row r="163" spans="1:23" x14ac:dyDescent="0.3">
      <c r="A163">
        <v>3145404</v>
      </c>
      <c r="B163">
        <v>34.47</v>
      </c>
      <c r="C163" t="s">
        <v>413</v>
      </c>
      <c r="E163" t="s">
        <v>23</v>
      </c>
      <c r="F163" t="s">
        <v>28</v>
      </c>
      <c r="G163">
        <v>2019</v>
      </c>
      <c r="H163" t="s">
        <v>192</v>
      </c>
      <c r="K163" t="s">
        <v>25</v>
      </c>
      <c r="L163" t="s">
        <v>26</v>
      </c>
      <c r="M163" t="b">
        <v>1</v>
      </c>
      <c r="N163" t="s">
        <v>414</v>
      </c>
      <c r="P163" t="s">
        <v>415</v>
      </c>
      <c r="Q163" t="b">
        <v>1</v>
      </c>
      <c r="S163" t="str">
        <f>"9780310767077"</f>
        <v>9780310767077</v>
      </c>
      <c r="T163" t="str">
        <f>"9780310767060"</f>
        <v>9780310767060</v>
      </c>
      <c r="U163" t="b">
        <v>0</v>
      </c>
      <c r="W163" t="b">
        <v>0</v>
      </c>
    </row>
    <row r="164" spans="1:23" x14ac:dyDescent="0.3">
      <c r="A164">
        <v>3145403</v>
      </c>
      <c r="B164">
        <v>17.22</v>
      </c>
      <c r="C164" t="s">
        <v>416</v>
      </c>
      <c r="E164" t="s">
        <v>23</v>
      </c>
      <c r="F164" t="s">
        <v>28</v>
      </c>
      <c r="G164">
        <v>2019</v>
      </c>
      <c r="H164" t="s">
        <v>192</v>
      </c>
      <c r="K164" t="s">
        <v>25</v>
      </c>
      <c r="L164" t="s">
        <v>26</v>
      </c>
      <c r="M164" t="b">
        <v>1</v>
      </c>
      <c r="N164" t="s">
        <v>339</v>
      </c>
      <c r="P164" t="s">
        <v>36</v>
      </c>
      <c r="Q164" t="b">
        <v>1</v>
      </c>
      <c r="S164" t="str">
        <f>"9780310763635"</f>
        <v>9780310763635</v>
      </c>
      <c r="T164" t="str">
        <f>"9780310763659"</f>
        <v>9780310763659</v>
      </c>
      <c r="U164" t="b">
        <v>0</v>
      </c>
      <c r="W164" t="b">
        <v>0</v>
      </c>
    </row>
    <row r="165" spans="1:23" x14ac:dyDescent="0.3">
      <c r="A165">
        <v>3145402</v>
      </c>
      <c r="B165">
        <v>65.52</v>
      </c>
      <c r="C165" t="s">
        <v>417</v>
      </c>
      <c r="D165" t="s">
        <v>418</v>
      </c>
      <c r="E165" t="s">
        <v>23</v>
      </c>
      <c r="F165" t="s">
        <v>28</v>
      </c>
      <c r="G165">
        <v>2020</v>
      </c>
      <c r="H165" t="s">
        <v>75</v>
      </c>
      <c r="K165" t="s">
        <v>25</v>
      </c>
      <c r="L165" t="s">
        <v>145</v>
      </c>
      <c r="M165" t="b">
        <v>1</v>
      </c>
      <c r="N165" t="s">
        <v>419</v>
      </c>
      <c r="Q165" t="b">
        <v>0</v>
      </c>
      <c r="S165" t="str">
        <f>"9780310746829"</f>
        <v>9780310746829</v>
      </c>
      <c r="T165" t="str">
        <f>"9780310746911"</f>
        <v>9780310746911</v>
      </c>
      <c r="U165" t="b">
        <v>0</v>
      </c>
      <c r="W165" t="b">
        <v>0</v>
      </c>
    </row>
    <row r="166" spans="1:23" x14ac:dyDescent="0.3">
      <c r="A166">
        <v>3145401</v>
      </c>
      <c r="B166">
        <v>55.17</v>
      </c>
      <c r="C166" t="s">
        <v>420</v>
      </c>
      <c r="D166" t="s">
        <v>421</v>
      </c>
      <c r="E166" t="s">
        <v>23</v>
      </c>
      <c r="F166" t="s">
        <v>28</v>
      </c>
      <c r="G166">
        <v>2019</v>
      </c>
      <c r="H166" t="s">
        <v>422</v>
      </c>
      <c r="K166" t="s">
        <v>25</v>
      </c>
      <c r="L166" t="s">
        <v>26</v>
      </c>
      <c r="M166" t="b">
        <v>1</v>
      </c>
      <c r="N166" t="s">
        <v>44</v>
      </c>
      <c r="Q166" t="b">
        <v>0</v>
      </c>
      <c r="S166" t="str">
        <f>"9780310765479"</f>
        <v>9780310765479</v>
      </c>
      <c r="T166" t="str">
        <f>"9780310765486"</f>
        <v>9780310765486</v>
      </c>
      <c r="U166" t="b">
        <v>0</v>
      </c>
      <c r="W166" t="b">
        <v>0</v>
      </c>
    </row>
    <row r="167" spans="1:23" x14ac:dyDescent="0.3">
      <c r="A167">
        <v>3145400</v>
      </c>
      <c r="B167">
        <v>17.22</v>
      </c>
      <c r="C167" t="s">
        <v>423</v>
      </c>
      <c r="E167" t="s">
        <v>23</v>
      </c>
      <c r="F167" t="s">
        <v>28</v>
      </c>
      <c r="G167">
        <v>2019</v>
      </c>
      <c r="H167" t="s">
        <v>34</v>
      </c>
      <c r="K167" t="s">
        <v>25</v>
      </c>
      <c r="L167" t="s">
        <v>26</v>
      </c>
      <c r="M167" t="b">
        <v>1</v>
      </c>
      <c r="N167" t="s">
        <v>339</v>
      </c>
      <c r="P167" t="s">
        <v>36</v>
      </c>
      <c r="Q167" t="b">
        <v>1</v>
      </c>
      <c r="S167" t="str">
        <f>"9780310763628"</f>
        <v>9780310763628</v>
      </c>
      <c r="T167" t="str">
        <f>"9780310763581"</f>
        <v>9780310763581</v>
      </c>
      <c r="U167" t="b">
        <v>0</v>
      </c>
      <c r="W167" t="b">
        <v>0</v>
      </c>
    </row>
    <row r="168" spans="1:23" x14ac:dyDescent="0.3">
      <c r="A168">
        <v>3145399</v>
      </c>
      <c r="B168">
        <v>62.07</v>
      </c>
      <c r="C168" t="s">
        <v>424</v>
      </c>
      <c r="E168" t="s">
        <v>23</v>
      </c>
      <c r="F168" t="s">
        <v>28</v>
      </c>
      <c r="G168">
        <v>2019</v>
      </c>
      <c r="H168" t="s">
        <v>406</v>
      </c>
      <c r="K168" t="s">
        <v>25</v>
      </c>
      <c r="L168" t="s">
        <v>26</v>
      </c>
      <c r="M168" t="b">
        <v>1</v>
      </c>
      <c r="N168" t="s">
        <v>425</v>
      </c>
      <c r="Q168" t="b">
        <v>1</v>
      </c>
      <c r="S168" t="str">
        <f>"9780310756422"</f>
        <v>9780310756422</v>
      </c>
      <c r="T168" t="str">
        <f>"9780310756934"</f>
        <v>9780310756934</v>
      </c>
      <c r="U168" t="b">
        <v>0</v>
      </c>
      <c r="W168" t="b">
        <v>0</v>
      </c>
    </row>
    <row r="169" spans="1:23" x14ac:dyDescent="0.3">
      <c r="A169">
        <v>3145398</v>
      </c>
      <c r="B169">
        <v>17.22</v>
      </c>
      <c r="C169" t="s">
        <v>426</v>
      </c>
      <c r="D169" t="s">
        <v>143</v>
      </c>
      <c r="E169" t="s">
        <v>23</v>
      </c>
      <c r="F169" t="s">
        <v>28</v>
      </c>
      <c r="G169">
        <v>2019</v>
      </c>
      <c r="H169" t="s">
        <v>144</v>
      </c>
      <c r="K169" t="s">
        <v>25</v>
      </c>
      <c r="L169" t="s">
        <v>26</v>
      </c>
      <c r="M169" t="b">
        <v>1</v>
      </c>
      <c r="N169" t="s">
        <v>146</v>
      </c>
      <c r="P169" t="s">
        <v>147</v>
      </c>
      <c r="Q169" t="b">
        <v>0</v>
      </c>
      <c r="S169" t="str">
        <f>"9780310760368"</f>
        <v>9780310760368</v>
      </c>
      <c r="T169" t="str">
        <f>"9780310760399"</f>
        <v>9780310760399</v>
      </c>
      <c r="U169" t="b">
        <v>0</v>
      </c>
      <c r="W169" t="b">
        <v>0</v>
      </c>
    </row>
    <row r="170" spans="1:23" x14ac:dyDescent="0.3">
      <c r="A170">
        <v>3145397</v>
      </c>
      <c r="B170">
        <v>17.22</v>
      </c>
      <c r="C170" t="s">
        <v>427</v>
      </c>
      <c r="D170" t="s">
        <v>93</v>
      </c>
      <c r="E170" t="s">
        <v>23</v>
      </c>
      <c r="F170" t="s">
        <v>28</v>
      </c>
      <c r="G170">
        <v>2019</v>
      </c>
      <c r="H170" t="s">
        <v>34</v>
      </c>
      <c r="K170" t="s">
        <v>25</v>
      </c>
      <c r="L170" t="s">
        <v>26</v>
      </c>
      <c r="M170" t="b">
        <v>1</v>
      </c>
      <c r="N170" t="s">
        <v>39</v>
      </c>
      <c r="P170" t="s">
        <v>257</v>
      </c>
      <c r="Q170" t="b">
        <v>1</v>
      </c>
      <c r="S170" t="str">
        <f>"9780310760153"</f>
        <v>9780310760153</v>
      </c>
      <c r="T170" t="str">
        <f>"9780310760160"</f>
        <v>9780310760160</v>
      </c>
      <c r="U170" t="b">
        <v>0</v>
      </c>
      <c r="W170" t="b">
        <v>0</v>
      </c>
    </row>
    <row r="171" spans="1:23" x14ac:dyDescent="0.3">
      <c r="A171">
        <v>3145396</v>
      </c>
      <c r="B171">
        <v>17.22</v>
      </c>
      <c r="C171" t="s">
        <v>428</v>
      </c>
      <c r="E171" t="s">
        <v>23</v>
      </c>
      <c r="F171" t="s">
        <v>28</v>
      </c>
      <c r="G171">
        <v>2019</v>
      </c>
      <c r="H171" t="s">
        <v>265</v>
      </c>
      <c r="K171" t="s">
        <v>25</v>
      </c>
      <c r="L171" t="s">
        <v>26</v>
      </c>
      <c r="M171" t="b">
        <v>1</v>
      </c>
      <c r="N171" t="s">
        <v>39</v>
      </c>
      <c r="P171" t="s">
        <v>36</v>
      </c>
      <c r="Q171" t="b">
        <v>1</v>
      </c>
      <c r="S171" t="str">
        <f>"9780310762188"</f>
        <v>9780310762188</v>
      </c>
      <c r="T171" t="str">
        <f>"9780310762225"</f>
        <v>9780310762225</v>
      </c>
      <c r="U171" t="b">
        <v>0</v>
      </c>
      <c r="W171" t="b">
        <v>0</v>
      </c>
    </row>
    <row r="172" spans="1:23" x14ac:dyDescent="0.3">
      <c r="A172">
        <v>3145395</v>
      </c>
      <c r="B172">
        <v>31.02</v>
      </c>
      <c r="C172" t="s">
        <v>429</v>
      </c>
      <c r="D172" t="s">
        <v>430</v>
      </c>
      <c r="E172" t="s">
        <v>23</v>
      </c>
      <c r="F172" t="s">
        <v>28</v>
      </c>
      <c r="G172">
        <v>2019</v>
      </c>
      <c r="H172" t="s">
        <v>431</v>
      </c>
      <c r="K172" t="s">
        <v>25</v>
      </c>
      <c r="L172" t="s">
        <v>26</v>
      </c>
      <c r="M172" t="b">
        <v>1</v>
      </c>
      <c r="N172" t="s">
        <v>44</v>
      </c>
      <c r="Q172" t="b">
        <v>1</v>
      </c>
      <c r="S172" t="str">
        <f>"9780310768289"</f>
        <v>9780310768289</v>
      </c>
      <c r="T172" t="str">
        <f>"9780310768364"</f>
        <v>9780310768364</v>
      </c>
      <c r="U172" t="b">
        <v>0</v>
      </c>
      <c r="W172" t="b">
        <v>0</v>
      </c>
    </row>
    <row r="173" spans="1:23" x14ac:dyDescent="0.3">
      <c r="A173">
        <v>3145394</v>
      </c>
      <c r="B173">
        <v>34.47</v>
      </c>
      <c r="C173" t="s">
        <v>432</v>
      </c>
      <c r="E173" t="s">
        <v>23</v>
      </c>
      <c r="F173" t="s">
        <v>28</v>
      </c>
      <c r="G173">
        <v>2019</v>
      </c>
      <c r="H173" t="s">
        <v>162</v>
      </c>
      <c r="K173" t="s">
        <v>25</v>
      </c>
      <c r="L173" t="s">
        <v>26</v>
      </c>
      <c r="M173" t="b">
        <v>1</v>
      </c>
      <c r="N173" t="s">
        <v>210</v>
      </c>
      <c r="P173" t="s">
        <v>333</v>
      </c>
      <c r="Q173" t="b">
        <v>1</v>
      </c>
      <c r="S173" t="str">
        <f>"9780310767510"</f>
        <v>9780310767510</v>
      </c>
      <c r="T173" t="str">
        <f>"9780310767534"</f>
        <v>9780310767534</v>
      </c>
      <c r="U173" t="b">
        <v>0</v>
      </c>
      <c r="W173" t="b">
        <v>0</v>
      </c>
    </row>
    <row r="174" spans="1:23" x14ac:dyDescent="0.3">
      <c r="A174">
        <v>3145393</v>
      </c>
      <c r="B174">
        <v>62.07</v>
      </c>
      <c r="C174" t="s">
        <v>433</v>
      </c>
      <c r="E174" t="s">
        <v>23</v>
      </c>
      <c r="F174" t="s">
        <v>28</v>
      </c>
      <c r="G174">
        <v>2019</v>
      </c>
      <c r="H174" t="s">
        <v>316</v>
      </c>
      <c r="K174" t="s">
        <v>25</v>
      </c>
      <c r="L174" t="s">
        <v>26</v>
      </c>
      <c r="M174" t="b">
        <v>1</v>
      </c>
      <c r="N174" t="s">
        <v>210</v>
      </c>
      <c r="Q174" t="b">
        <v>1</v>
      </c>
      <c r="S174" t="str">
        <f>"9780310766698"</f>
        <v>9780310766698</v>
      </c>
      <c r="T174" t="str">
        <f>"9780310766575"</f>
        <v>9780310766575</v>
      </c>
      <c r="U174" t="b">
        <v>0</v>
      </c>
      <c r="W174" t="b">
        <v>0</v>
      </c>
    </row>
    <row r="175" spans="1:23" x14ac:dyDescent="0.3">
      <c r="A175">
        <v>3145392</v>
      </c>
      <c r="B175">
        <v>17.22</v>
      </c>
      <c r="C175" t="s">
        <v>434</v>
      </c>
      <c r="D175" t="s">
        <v>143</v>
      </c>
      <c r="E175" t="s">
        <v>23</v>
      </c>
      <c r="F175" t="s">
        <v>28</v>
      </c>
      <c r="G175">
        <v>2019</v>
      </c>
      <c r="H175" t="s">
        <v>144</v>
      </c>
      <c r="K175" t="s">
        <v>25</v>
      </c>
      <c r="L175" t="s">
        <v>26</v>
      </c>
      <c r="M175" t="b">
        <v>1</v>
      </c>
      <c r="N175" t="s">
        <v>146</v>
      </c>
      <c r="P175" t="s">
        <v>147</v>
      </c>
      <c r="Q175" t="b">
        <v>0</v>
      </c>
      <c r="S175" t="str">
        <f>"9780310760443"</f>
        <v>9780310760443</v>
      </c>
      <c r="T175" t="str">
        <f>"9780310760382"</f>
        <v>9780310760382</v>
      </c>
      <c r="U175" t="b">
        <v>0</v>
      </c>
      <c r="W175" t="b">
        <v>0</v>
      </c>
    </row>
    <row r="176" spans="1:23" x14ac:dyDescent="0.3">
      <c r="A176">
        <v>3145391</v>
      </c>
      <c r="B176">
        <v>65.52</v>
      </c>
      <c r="C176" t="s">
        <v>435</v>
      </c>
      <c r="D176" t="s">
        <v>436</v>
      </c>
      <c r="E176" t="s">
        <v>23</v>
      </c>
      <c r="F176" t="s">
        <v>28</v>
      </c>
      <c r="G176">
        <v>2019</v>
      </c>
      <c r="H176" t="s">
        <v>222</v>
      </c>
      <c r="K176" t="s">
        <v>25</v>
      </c>
      <c r="L176" t="s">
        <v>145</v>
      </c>
      <c r="M176" t="b">
        <v>1</v>
      </c>
      <c r="N176" t="s">
        <v>437</v>
      </c>
      <c r="Q176" t="b">
        <v>0</v>
      </c>
      <c r="S176" t="str">
        <f>"9780310746881"</f>
        <v>9780310746881</v>
      </c>
      <c r="T176" t="str">
        <f>"9780310747048"</f>
        <v>9780310747048</v>
      </c>
      <c r="U176" t="b">
        <v>0</v>
      </c>
      <c r="W176" t="b">
        <v>0</v>
      </c>
    </row>
    <row r="177" spans="1:23" x14ac:dyDescent="0.3">
      <c r="A177">
        <v>3145390</v>
      </c>
      <c r="B177">
        <v>65.52</v>
      </c>
      <c r="C177" t="s">
        <v>438</v>
      </c>
      <c r="E177" t="s">
        <v>23</v>
      </c>
      <c r="F177" t="s">
        <v>28</v>
      </c>
      <c r="G177">
        <v>2019</v>
      </c>
      <c r="H177" t="s">
        <v>91</v>
      </c>
      <c r="K177" t="s">
        <v>25</v>
      </c>
      <c r="L177" t="s">
        <v>145</v>
      </c>
      <c r="M177" t="b">
        <v>1</v>
      </c>
      <c r="N177" t="s">
        <v>329</v>
      </c>
      <c r="P177" t="s">
        <v>439</v>
      </c>
      <c r="Q177" t="b">
        <v>0</v>
      </c>
      <c r="S177" t="str">
        <f>"9780310764311"</f>
        <v>9780310764311</v>
      </c>
      <c r="T177" t="str">
        <f>"9780310764335"</f>
        <v>9780310764335</v>
      </c>
      <c r="U177" t="b">
        <v>0</v>
      </c>
      <c r="W177" t="b">
        <v>0</v>
      </c>
    </row>
    <row r="178" spans="1:23" x14ac:dyDescent="0.3">
      <c r="A178">
        <v>3145389</v>
      </c>
      <c r="B178">
        <v>62.07</v>
      </c>
      <c r="C178" t="s">
        <v>440</v>
      </c>
      <c r="E178" t="s">
        <v>23</v>
      </c>
      <c r="F178" t="s">
        <v>28</v>
      </c>
      <c r="G178">
        <v>2019</v>
      </c>
      <c r="H178" t="s">
        <v>441</v>
      </c>
      <c r="K178" t="s">
        <v>25</v>
      </c>
      <c r="L178" t="s">
        <v>26</v>
      </c>
      <c r="M178" t="b">
        <v>1</v>
      </c>
      <c r="N178" t="s">
        <v>44</v>
      </c>
      <c r="Q178" t="b">
        <v>1</v>
      </c>
      <c r="S178" t="str">
        <f>"9780310765417"</f>
        <v>9780310765417</v>
      </c>
      <c r="T178" t="str">
        <f>"9780310765462"</f>
        <v>9780310765462</v>
      </c>
      <c r="U178" t="b">
        <v>0</v>
      </c>
      <c r="W178" t="b">
        <v>0</v>
      </c>
    </row>
    <row r="179" spans="1:23" x14ac:dyDescent="0.3">
      <c r="A179">
        <v>3145388</v>
      </c>
      <c r="B179">
        <v>17.22</v>
      </c>
      <c r="C179" t="s">
        <v>442</v>
      </c>
      <c r="E179" t="s">
        <v>23</v>
      </c>
      <c r="F179" t="s">
        <v>28</v>
      </c>
      <c r="G179">
        <v>2019</v>
      </c>
      <c r="H179" t="s">
        <v>34</v>
      </c>
      <c r="K179" t="s">
        <v>25</v>
      </c>
      <c r="L179" t="s">
        <v>26</v>
      </c>
      <c r="M179" t="b">
        <v>1</v>
      </c>
      <c r="N179" t="s">
        <v>339</v>
      </c>
      <c r="P179" t="s">
        <v>36</v>
      </c>
      <c r="Q179" t="b">
        <v>1</v>
      </c>
      <c r="S179" t="str">
        <f>"9780310763680"</f>
        <v>9780310763680</v>
      </c>
      <c r="T179" t="str">
        <f>"9780310763673"</f>
        <v>9780310763673</v>
      </c>
      <c r="U179" t="b">
        <v>0</v>
      </c>
      <c r="W179" t="b">
        <v>0</v>
      </c>
    </row>
    <row r="180" spans="1:23" x14ac:dyDescent="0.3">
      <c r="A180">
        <v>3145387</v>
      </c>
      <c r="B180">
        <v>17.22</v>
      </c>
      <c r="C180" t="s">
        <v>443</v>
      </c>
      <c r="D180" t="s">
        <v>93</v>
      </c>
      <c r="E180" t="s">
        <v>23</v>
      </c>
      <c r="F180" t="s">
        <v>28</v>
      </c>
      <c r="G180">
        <v>2018</v>
      </c>
      <c r="H180" t="s">
        <v>153</v>
      </c>
      <c r="K180" t="s">
        <v>25</v>
      </c>
      <c r="L180" t="s">
        <v>26</v>
      </c>
      <c r="M180" t="b">
        <v>1</v>
      </c>
      <c r="N180" t="s">
        <v>35</v>
      </c>
      <c r="P180" t="s">
        <v>257</v>
      </c>
      <c r="Q180" t="b">
        <v>1</v>
      </c>
      <c r="S180" t="str">
        <f>"9780310760092"</f>
        <v>9780310760092</v>
      </c>
      <c r="T180" t="str">
        <f>"9780310760139"</f>
        <v>9780310760139</v>
      </c>
      <c r="U180" t="b">
        <v>0</v>
      </c>
      <c r="W180" t="b">
        <v>0</v>
      </c>
    </row>
    <row r="181" spans="1:23" x14ac:dyDescent="0.3">
      <c r="A181">
        <v>3145386</v>
      </c>
      <c r="B181">
        <v>37.92</v>
      </c>
      <c r="C181" t="s">
        <v>444</v>
      </c>
      <c r="D181" t="s">
        <v>445</v>
      </c>
      <c r="E181" t="s">
        <v>23</v>
      </c>
      <c r="F181" t="s">
        <v>28</v>
      </c>
      <c r="G181">
        <v>2018</v>
      </c>
      <c r="H181" t="s">
        <v>222</v>
      </c>
      <c r="K181" t="s">
        <v>25</v>
      </c>
      <c r="L181" t="s">
        <v>26</v>
      </c>
      <c r="M181" t="b">
        <v>1</v>
      </c>
      <c r="N181" t="s">
        <v>317</v>
      </c>
      <c r="P181" t="s">
        <v>363</v>
      </c>
      <c r="Q181" t="b">
        <v>0</v>
      </c>
      <c r="S181" t="str">
        <f>"9780310757610"</f>
        <v>9780310757610</v>
      </c>
      <c r="T181" t="str">
        <f>"9780310757689"</f>
        <v>9780310757689</v>
      </c>
      <c r="U181" t="b">
        <v>0</v>
      </c>
      <c r="W181" t="b">
        <v>0</v>
      </c>
    </row>
    <row r="182" spans="1:23" x14ac:dyDescent="0.3">
      <c r="A182">
        <v>3145385</v>
      </c>
      <c r="B182">
        <v>62.07</v>
      </c>
      <c r="C182" t="s">
        <v>446</v>
      </c>
      <c r="E182" t="s">
        <v>23</v>
      </c>
      <c r="F182" t="s">
        <v>28</v>
      </c>
      <c r="G182">
        <v>2019</v>
      </c>
      <c r="H182" t="s">
        <v>168</v>
      </c>
      <c r="K182" t="s">
        <v>25</v>
      </c>
      <c r="L182" t="s">
        <v>26</v>
      </c>
      <c r="M182" t="b">
        <v>1</v>
      </c>
      <c r="N182" t="s">
        <v>63</v>
      </c>
      <c r="P182" t="s">
        <v>64</v>
      </c>
      <c r="Q182" t="b">
        <v>0</v>
      </c>
      <c r="S182" t="str">
        <f>"9780310766742"</f>
        <v>9780310766742</v>
      </c>
      <c r="T182" t="str">
        <f>"9780310766889"</f>
        <v>9780310766889</v>
      </c>
      <c r="U182" t="b">
        <v>0</v>
      </c>
      <c r="W182" t="b">
        <v>0</v>
      </c>
    </row>
    <row r="183" spans="1:23" x14ac:dyDescent="0.3">
      <c r="A183">
        <v>3145384</v>
      </c>
      <c r="B183">
        <v>31.02</v>
      </c>
      <c r="C183" t="s">
        <v>447</v>
      </c>
      <c r="E183" t="s">
        <v>23</v>
      </c>
      <c r="F183" t="s">
        <v>28</v>
      </c>
      <c r="G183">
        <v>2019</v>
      </c>
      <c r="H183" t="s">
        <v>144</v>
      </c>
      <c r="K183" t="s">
        <v>25</v>
      </c>
      <c r="L183" t="s">
        <v>26</v>
      </c>
      <c r="M183" t="b">
        <v>1</v>
      </c>
      <c r="N183" t="s">
        <v>146</v>
      </c>
      <c r="P183" t="s">
        <v>146</v>
      </c>
      <c r="Q183" t="b">
        <v>0</v>
      </c>
      <c r="S183" t="str">
        <f>"9780310766858"</f>
        <v>9780310766858</v>
      </c>
      <c r="T183" t="str">
        <f>"9780310766773"</f>
        <v>9780310766773</v>
      </c>
      <c r="U183" t="b">
        <v>0</v>
      </c>
      <c r="W183" t="b">
        <v>0</v>
      </c>
    </row>
    <row r="184" spans="1:23" x14ac:dyDescent="0.3">
      <c r="A184">
        <v>3145383</v>
      </c>
      <c r="B184">
        <v>27.57</v>
      </c>
      <c r="C184" t="s">
        <v>448</v>
      </c>
      <c r="E184" t="s">
        <v>23</v>
      </c>
      <c r="F184" t="s">
        <v>28</v>
      </c>
      <c r="G184">
        <v>2019</v>
      </c>
      <c r="H184" t="s">
        <v>265</v>
      </c>
      <c r="K184" t="s">
        <v>25</v>
      </c>
      <c r="L184" t="s">
        <v>26</v>
      </c>
      <c r="M184" t="b">
        <v>1</v>
      </c>
      <c r="N184" t="s">
        <v>44</v>
      </c>
      <c r="Q184" t="b">
        <v>1</v>
      </c>
      <c r="S184" t="str">
        <f>"9780310766681"</f>
        <v>9780310766681</v>
      </c>
      <c r="T184" t="str">
        <f>"9780310766735"</f>
        <v>9780310766735</v>
      </c>
      <c r="U184" t="b">
        <v>0</v>
      </c>
      <c r="W184" t="b">
        <v>0</v>
      </c>
    </row>
    <row r="185" spans="1:23" x14ac:dyDescent="0.3">
      <c r="A185">
        <v>3145382</v>
      </c>
      <c r="B185">
        <v>55.17</v>
      </c>
      <c r="C185" t="s">
        <v>449</v>
      </c>
      <c r="E185" t="s">
        <v>23</v>
      </c>
      <c r="F185" t="s">
        <v>28</v>
      </c>
      <c r="G185">
        <v>2019</v>
      </c>
      <c r="H185" t="s">
        <v>316</v>
      </c>
      <c r="K185" t="s">
        <v>25</v>
      </c>
      <c r="L185" t="s">
        <v>26</v>
      </c>
      <c r="M185" t="b">
        <v>1</v>
      </c>
      <c r="N185" t="s">
        <v>378</v>
      </c>
      <c r="Q185" t="b">
        <v>1</v>
      </c>
      <c r="S185" t="str">
        <f>"9780310766995"</f>
        <v>9780310766995</v>
      </c>
      <c r="T185" t="str">
        <f>"9780310766551"</f>
        <v>9780310766551</v>
      </c>
      <c r="U185" t="b">
        <v>0</v>
      </c>
      <c r="W185" t="b">
        <v>0</v>
      </c>
    </row>
    <row r="186" spans="1:23" x14ac:dyDescent="0.3">
      <c r="A186">
        <v>3145381</v>
      </c>
      <c r="B186">
        <v>31.02</v>
      </c>
      <c r="C186" t="s">
        <v>450</v>
      </c>
      <c r="E186" t="s">
        <v>23</v>
      </c>
      <c r="F186" t="s">
        <v>28</v>
      </c>
      <c r="G186">
        <v>2018</v>
      </c>
      <c r="H186" t="s">
        <v>451</v>
      </c>
      <c r="K186" t="s">
        <v>25</v>
      </c>
      <c r="L186" t="s">
        <v>26</v>
      </c>
      <c r="M186" t="b">
        <v>1</v>
      </c>
      <c r="N186" t="s">
        <v>44</v>
      </c>
      <c r="Q186" t="b">
        <v>1</v>
      </c>
      <c r="S186" t="str">
        <f>"9780310766216"</f>
        <v>9780310766216</v>
      </c>
      <c r="T186" t="str">
        <f>"9780310766087"</f>
        <v>9780310766087</v>
      </c>
      <c r="U186" t="b">
        <v>0</v>
      </c>
      <c r="W186" t="b">
        <v>0</v>
      </c>
    </row>
    <row r="187" spans="1:23" x14ac:dyDescent="0.3">
      <c r="A187">
        <v>3145380</v>
      </c>
      <c r="B187">
        <v>58.62</v>
      </c>
      <c r="C187" t="s">
        <v>452</v>
      </c>
      <c r="D187" t="s">
        <v>453</v>
      </c>
      <c r="E187" t="s">
        <v>23</v>
      </c>
      <c r="F187" t="s">
        <v>28</v>
      </c>
      <c r="G187">
        <v>2018</v>
      </c>
      <c r="H187" t="s">
        <v>168</v>
      </c>
      <c r="K187" t="s">
        <v>25</v>
      </c>
      <c r="L187" t="s">
        <v>26</v>
      </c>
      <c r="M187" t="b">
        <v>1</v>
      </c>
      <c r="N187" t="s">
        <v>220</v>
      </c>
      <c r="P187" t="s">
        <v>84</v>
      </c>
      <c r="Q187" t="b">
        <v>0</v>
      </c>
      <c r="S187" t="str">
        <f>"9780310765646"</f>
        <v>9780310765646</v>
      </c>
      <c r="T187" t="str">
        <f>"9780310765660"</f>
        <v>9780310765660</v>
      </c>
      <c r="U187" t="b">
        <v>0</v>
      </c>
      <c r="W187" t="b">
        <v>0</v>
      </c>
    </row>
    <row r="188" spans="1:23" x14ac:dyDescent="0.3">
      <c r="A188">
        <v>3145379</v>
      </c>
      <c r="B188">
        <v>17.22</v>
      </c>
      <c r="C188" t="s">
        <v>454</v>
      </c>
      <c r="D188" t="s">
        <v>143</v>
      </c>
      <c r="E188" t="s">
        <v>23</v>
      </c>
      <c r="F188" t="s">
        <v>28</v>
      </c>
      <c r="G188">
        <v>2018</v>
      </c>
      <c r="H188" t="s">
        <v>144</v>
      </c>
      <c r="K188" t="s">
        <v>25</v>
      </c>
      <c r="L188" t="s">
        <v>26</v>
      </c>
      <c r="M188" t="b">
        <v>1</v>
      </c>
      <c r="N188" t="s">
        <v>146</v>
      </c>
      <c r="P188" t="s">
        <v>147</v>
      </c>
      <c r="Q188" t="b">
        <v>0</v>
      </c>
      <c r="S188" t="str">
        <f>"9780310764649"</f>
        <v>9780310764649</v>
      </c>
      <c r="T188" t="str">
        <f>"9780310764670"</f>
        <v>9780310764670</v>
      </c>
      <c r="U188" t="b">
        <v>0</v>
      </c>
      <c r="W188" t="b">
        <v>0</v>
      </c>
    </row>
    <row r="189" spans="1:23" x14ac:dyDescent="0.3">
      <c r="A189">
        <v>3145378</v>
      </c>
      <c r="B189">
        <v>13.77</v>
      </c>
      <c r="C189" t="s">
        <v>455</v>
      </c>
      <c r="E189" t="s">
        <v>23</v>
      </c>
      <c r="F189" t="s">
        <v>28</v>
      </c>
      <c r="G189">
        <v>2018</v>
      </c>
      <c r="H189" t="s">
        <v>41</v>
      </c>
      <c r="K189" t="s">
        <v>25</v>
      </c>
      <c r="L189" t="s">
        <v>26</v>
      </c>
      <c r="M189" t="b">
        <v>1</v>
      </c>
      <c r="N189" t="s">
        <v>339</v>
      </c>
      <c r="P189" t="s">
        <v>36</v>
      </c>
      <c r="Q189" t="b">
        <v>1</v>
      </c>
      <c r="S189" t="str">
        <f>"9780310764458"</f>
        <v>9780310764458</v>
      </c>
      <c r="T189" t="str">
        <f>"9780310764489"</f>
        <v>9780310764489</v>
      </c>
      <c r="U189" t="b">
        <v>0</v>
      </c>
      <c r="W189" t="b">
        <v>0</v>
      </c>
    </row>
    <row r="190" spans="1:23" x14ac:dyDescent="0.3">
      <c r="A190">
        <v>3145377</v>
      </c>
      <c r="B190">
        <v>31.02</v>
      </c>
      <c r="C190" t="s">
        <v>456</v>
      </c>
      <c r="E190" t="s">
        <v>23</v>
      </c>
      <c r="F190" t="s">
        <v>28</v>
      </c>
      <c r="G190">
        <v>2018</v>
      </c>
      <c r="H190" t="s">
        <v>354</v>
      </c>
      <c r="K190" t="s">
        <v>25</v>
      </c>
      <c r="L190" t="s">
        <v>26</v>
      </c>
      <c r="M190" t="b">
        <v>1</v>
      </c>
      <c r="N190" t="s">
        <v>457</v>
      </c>
      <c r="Q190" t="b">
        <v>1</v>
      </c>
      <c r="S190" t="str">
        <f>"9780310762737"</f>
        <v>9780310762737</v>
      </c>
      <c r="T190" t="str">
        <f>"9780310762829"</f>
        <v>9780310762829</v>
      </c>
      <c r="U190" t="b">
        <v>0</v>
      </c>
      <c r="W190" t="b">
        <v>0</v>
      </c>
    </row>
    <row r="191" spans="1:23" x14ac:dyDescent="0.3">
      <c r="A191">
        <v>3145376</v>
      </c>
      <c r="B191">
        <v>58.62</v>
      </c>
      <c r="C191" t="s">
        <v>458</v>
      </c>
      <c r="E191" t="s">
        <v>23</v>
      </c>
      <c r="F191" t="s">
        <v>28</v>
      </c>
      <c r="G191">
        <v>2018</v>
      </c>
      <c r="H191" t="s">
        <v>431</v>
      </c>
      <c r="K191" t="s">
        <v>25</v>
      </c>
      <c r="L191" t="s">
        <v>145</v>
      </c>
      <c r="M191" t="b">
        <v>1</v>
      </c>
      <c r="N191" t="s">
        <v>459</v>
      </c>
      <c r="Q191" t="b">
        <v>1</v>
      </c>
      <c r="S191" t="str">
        <f>"9780310764953"</f>
        <v>9780310764953</v>
      </c>
      <c r="T191" t="str">
        <f>"9780310765011"</f>
        <v>9780310765011</v>
      </c>
      <c r="U191" t="b">
        <v>0</v>
      </c>
      <c r="W191" t="b">
        <v>0</v>
      </c>
    </row>
    <row r="192" spans="1:23" x14ac:dyDescent="0.3">
      <c r="A192">
        <v>3145375</v>
      </c>
      <c r="B192">
        <v>44.82</v>
      </c>
      <c r="C192" t="s">
        <v>460</v>
      </c>
      <c r="D192" t="s">
        <v>461</v>
      </c>
      <c r="E192" t="s">
        <v>23</v>
      </c>
      <c r="F192" t="s">
        <v>28</v>
      </c>
      <c r="G192">
        <v>2018</v>
      </c>
      <c r="H192" t="s">
        <v>75</v>
      </c>
      <c r="K192" t="s">
        <v>25</v>
      </c>
      <c r="L192" t="s">
        <v>26</v>
      </c>
      <c r="M192" t="b">
        <v>1</v>
      </c>
      <c r="N192" t="s">
        <v>44</v>
      </c>
      <c r="P192" t="s">
        <v>462</v>
      </c>
      <c r="Q192" t="b">
        <v>0</v>
      </c>
      <c r="S192" t="str">
        <f>"9780310762447"</f>
        <v>9780310762447</v>
      </c>
      <c r="T192" t="str">
        <f>"9780310762461"</f>
        <v>9780310762461</v>
      </c>
      <c r="U192" t="b">
        <v>0</v>
      </c>
      <c r="W192" t="b">
        <v>0</v>
      </c>
    </row>
    <row r="193" spans="1:23" x14ac:dyDescent="0.3">
      <c r="A193">
        <v>3145374</v>
      </c>
      <c r="B193">
        <v>34.47</v>
      </c>
      <c r="C193" t="s">
        <v>463</v>
      </c>
      <c r="E193" t="s">
        <v>23</v>
      </c>
      <c r="F193" t="s">
        <v>28</v>
      </c>
      <c r="G193">
        <v>2018</v>
      </c>
      <c r="H193" t="s">
        <v>91</v>
      </c>
      <c r="K193" t="s">
        <v>25</v>
      </c>
      <c r="L193" t="s">
        <v>26</v>
      </c>
      <c r="M193" t="b">
        <v>1</v>
      </c>
      <c r="N193" t="s">
        <v>146</v>
      </c>
      <c r="P193" t="s">
        <v>146</v>
      </c>
      <c r="Q193" t="b">
        <v>0</v>
      </c>
      <c r="S193" t="str">
        <f>"9780310759942"</f>
        <v>9780310759942</v>
      </c>
      <c r="T193" t="str">
        <f>"9780310759973"</f>
        <v>9780310759973</v>
      </c>
      <c r="U193" t="b">
        <v>0</v>
      </c>
      <c r="W193" t="b">
        <v>0</v>
      </c>
    </row>
    <row r="194" spans="1:23" x14ac:dyDescent="0.3">
      <c r="A194">
        <v>3145373</v>
      </c>
      <c r="B194">
        <v>62.07</v>
      </c>
      <c r="C194" t="s">
        <v>464</v>
      </c>
      <c r="D194" t="s">
        <v>465</v>
      </c>
      <c r="E194" t="s">
        <v>23</v>
      </c>
      <c r="F194" t="s">
        <v>28</v>
      </c>
      <c r="G194">
        <v>2018</v>
      </c>
      <c r="H194" t="s">
        <v>466</v>
      </c>
      <c r="K194" t="s">
        <v>25</v>
      </c>
      <c r="L194" t="s">
        <v>26</v>
      </c>
      <c r="M194" t="b">
        <v>1</v>
      </c>
      <c r="N194" t="s">
        <v>467</v>
      </c>
      <c r="Q194" t="b">
        <v>0</v>
      </c>
      <c r="S194" t="str">
        <f>"9780310764960"</f>
        <v>9780310764960</v>
      </c>
      <c r="T194" t="str">
        <f>"9780310764991"</f>
        <v>9780310764991</v>
      </c>
      <c r="U194" t="b">
        <v>0</v>
      </c>
      <c r="W194" t="b">
        <v>0</v>
      </c>
    </row>
    <row r="195" spans="1:23" x14ac:dyDescent="0.3">
      <c r="A195">
        <v>3145372</v>
      </c>
      <c r="B195">
        <v>34.47</v>
      </c>
      <c r="C195" t="s">
        <v>468</v>
      </c>
      <c r="E195" t="s">
        <v>23</v>
      </c>
      <c r="F195" t="s">
        <v>28</v>
      </c>
      <c r="G195">
        <v>2018</v>
      </c>
      <c r="H195" t="s">
        <v>469</v>
      </c>
      <c r="K195" t="s">
        <v>25</v>
      </c>
      <c r="L195" t="s">
        <v>26</v>
      </c>
      <c r="M195" t="b">
        <v>1</v>
      </c>
      <c r="N195" t="s">
        <v>470</v>
      </c>
      <c r="Q195" t="b">
        <v>1</v>
      </c>
      <c r="S195" t="str">
        <f>"9780310763895"</f>
        <v>9780310763895</v>
      </c>
      <c r="T195" t="str">
        <f>"9780310763901"</f>
        <v>9780310763901</v>
      </c>
      <c r="U195" t="b">
        <v>0</v>
      </c>
      <c r="W195" t="b">
        <v>0</v>
      </c>
    </row>
    <row r="196" spans="1:23" x14ac:dyDescent="0.3">
      <c r="A196">
        <v>3145371</v>
      </c>
      <c r="B196">
        <v>17.22</v>
      </c>
      <c r="C196" t="s">
        <v>471</v>
      </c>
      <c r="E196" t="s">
        <v>23</v>
      </c>
      <c r="F196" t="s">
        <v>28</v>
      </c>
      <c r="G196">
        <v>2019</v>
      </c>
      <c r="H196" t="s">
        <v>41</v>
      </c>
      <c r="K196" t="s">
        <v>25</v>
      </c>
      <c r="L196" t="s">
        <v>26</v>
      </c>
      <c r="M196" t="b">
        <v>1</v>
      </c>
      <c r="N196" t="s">
        <v>339</v>
      </c>
      <c r="P196" t="s">
        <v>36</v>
      </c>
      <c r="Q196" t="b">
        <v>1</v>
      </c>
      <c r="S196" t="str">
        <f>"9780310763703"</f>
        <v>9780310763703</v>
      </c>
      <c r="T196" t="str">
        <f>"9780310763741"</f>
        <v>9780310763741</v>
      </c>
      <c r="U196" t="b">
        <v>0</v>
      </c>
      <c r="W196" t="b">
        <v>0</v>
      </c>
    </row>
    <row r="197" spans="1:23" x14ac:dyDescent="0.3">
      <c r="A197">
        <v>3145370</v>
      </c>
      <c r="B197">
        <v>34.47</v>
      </c>
      <c r="C197" t="s">
        <v>472</v>
      </c>
      <c r="E197" t="s">
        <v>23</v>
      </c>
      <c r="F197" t="s">
        <v>28</v>
      </c>
      <c r="G197">
        <v>2018</v>
      </c>
      <c r="H197" t="s">
        <v>192</v>
      </c>
      <c r="K197" t="s">
        <v>25</v>
      </c>
      <c r="L197" t="s">
        <v>26</v>
      </c>
      <c r="M197" t="b">
        <v>1</v>
      </c>
      <c r="N197" t="s">
        <v>366</v>
      </c>
      <c r="Q197" t="b">
        <v>1</v>
      </c>
      <c r="S197" t="str">
        <f>"9780310762898"</f>
        <v>9780310762898</v>
      </c>
      <c r="T197" t="str">
        <f>"9780310762942"</f>
        <v>9780310762942</v>
      </c>
      <c r="U197" t="b">
        <v>0</v>
      </c>
      <c r="W197" t="b">
        <v>0</v>
      </c>
    </row>
    <row r="198" spans="1:23" x14ac:dyDescent="0.3">
      <c r="A198">
        <v>3145369</v>
      </c>
      <c r="B198">
        <v>31.02</v>
      </c>
      <c r="C198" t="s">
        <v>473</v>
      </c>
      <c r="E198" t="s">
        <v>23</v>
      </c>
      <c r="F198" t="s">
        <v>28</v>
      </c>
      <c r="G198">
        <v>2018</v>
      </c>
      <c r="H198" t="s">
        <v>192</v>
      </c>
      <c r="K198" t="s">
        <v>25</v>
      </c>
      <c r="L198" t="s">
        <v>26</v>
      </c>
      <c r="M198" t="b">
        <v>1</v>
      </c>
      <c r="N198" t="s">
        <v>474</v>
      </c>
      <c r="Q198" t="b">
        <v>1</v>
      </c>
      <c r="S198" t="str">
        <f>"9780310761259"</f>
        <v>9780310761259</v>
      </c>
      <c r="T198" t="str">
        <f>"9780310761051"</f>
        <v>9780310761051</v>
      </c>
      <c r="U198" t="b">
        <v>0</v>
      </c>
      <c r="W198" t="b">
        <v>0</v>
      </c>
    </row>
    <row r="199" spans="1:23" x14ac:dyDescent="0.3">
      <c r="A199">
        <v>3145368</v>
      </c>
      <c r="B199">
        <v>46.16</v>
      </c>
      <c r="C199" t="s">
        <v>475</v>
      </c>
      <c r="E199" t="s">
        <v>23</v>
      </c>
      <c r="F199" t="s">
        <v>28</v>
      </c>
      <c r="G199">
        <v>2018</v>
      </c>
      <c r="H199" t="s">
        <v>476</v>
      </c>
      <c r="K199" t="s">
        <v>25</v>
      </c>
      <c r="L199" t="s">
        <v>26</v>
      </c>
      <c r="M199" t="b">
        <v>1</v>
      </c>
      <c r="N199" t="s">
        <v>284</v>
      </c>
      <c r="Q199" t="b">
        <v>1</v>
      </c>
      <c r="S199" t="str">
        <f>"9780310754893"</f>
        <v>9780310754893</v>
      </c>
      <c r="T199" t="str">
        <f>"9780310754602"</f>
        <v>9780310754602</v>
      </c>
      <c r="U199" t="b">
        <v>0</v>
      </c>
      <c r="W199" t="b">
        <v>0</v>
      </c>
    </row>
    <row r="200" spans="1:23" x14ac:dyDescent="0.3">
      <c r="A200">
        <v>3145367</v>
      </c>
      <c r="B200">
        <v>62.07</v>
      </c>
      <c r="C200" t="s">
        <v>477</v>
      </c>
      <c r="D200" t="s">
        <v>478</v>
      </c>
      <c r="E200" t="s">
        <v>23</v>
      </c>
      <c r="F200" t="s">
        <v>28</v>
      </c>
      <c r="G200">
        <v>2018</v>
      </c>
      <c r="H200" t="s">
        <v>75</v>
      </c>
      <c r="K200" t="s">
        <v>25</v>
      </c>
      <c r="L200" t="s">
        <v>145</v>
      </c>
      <c r="M200" t="b">
        <v>1</v>
      </c>
      <c r="N200" t="s">
        <v>44</v>
      </c>
      <c r="Q200" t="b">
        <v>0</v>
      </c>
      <c r="S200" t="str">
        <f>"9780310754374"</f>
        <v>9780310754374</v>
      </c>
      <c r="T200" t="str">
        <f>"9780310754688"</f>
        <v>9780310754688</v>
      </c>
      <c r="U200" t="b">
        <v>0</v>
      </c>
      <c r="W200" t="b">
        <v>0</v>
      </c>
    </row>
    <row r="201" spans="1:23" x14ac:dyDescent="0.3">
      <c r="A201">
        <v>3145366</v>
      </c>
      <c r="B201">
        <v>34.47</v>
      </c>
      <c r="C201" t="s">
        <v>479</v>
      </c>
      <c r="E201" t="s">
        <v>23</v>
      </c>
      <c r="F201" t="s">
        <v>28</v>
      </c>
      <c r="G201">
        <v>2018</v>
      </c>
      <c r="H201" t="s">
        <v>168</v>
      </c>
      <c r="K201" t="s">
        <v>25</v>
      </c>
      <c r="L201" t="s">
        <v>26</v>
      </c>
      <c r="M201" t="b">
        <v>1</v>
      </c>
      <c r="N201" t="s">
        <v>480</v>
      </c>
      <c r="Q201" t="b">
        <v>0</v>
      </c>
      <c r="S201" t="str">
        <f>"9780310761433"</f>
        <v>9780310761433</v>
      </c>
      <c r="T201" t="str">
        <f>"9780310761563"</f>
        <v>9780310761563</v>
      </c>
      <c r="U201" t="b">
        <v>0</v>
      </c>
      <c r="W201" t="b">
        <v>0</v>
      </c>
    </row>
    <row r="202" spans="1:23" x14ac:dyDescent="0.3">
      <c r="A202">
        <v>3145365</v>
      </c>
      <c r="B202">
        <v>62.07</v>
      </c>
      <c r="C202" t="s">
        <v>481</v>
      </c>
      <c r="E202" t="s">
        <v>23</v>
      </c>
      <c r="F202" t="s">
        <v>28</v>
      </c>
      <c r="G202">
        <v>2018</v>
      </c>
      <c r="H202" t="s">
        <v>354</v>
      </c>
      <c r="K202" t="s">
        <v>25</v>
      </c>
      <c r="L202" t="s">
        <v>26</v>
      </c>
      <c r="M202" t="b">
        <v>1</v>
      </c>
      <c r="N202" t="s">
        <v>482</v>
      </c>
      <c r="Q202" t="b">
        <v>1</v>
      </c>
      <c r="S202" t="str">
        <f>"9780310758907"</f>
        <v>9780310758907</v>
      </c>
      <c r="T202" t="str">
        <f>"9780310758952"</f>
        <v>9780310758952</v>
      </c>
      <c r="U202" t="b">
        <v>0</v>
      </c>
      <c r="W202" t="b">
        <v>0</v>
      </c>
    </row>
    <row r="203" spans="1:23" x14ac:dyDescent="0.3">
      <c r="A203">
        <v>3145364</v>
      </c>
      <c r="B203">
        <v>44.82</v>
      </c>
      <c r="C203" t="s">
        <v>483</v>
      </c>
      <c r="E203" t="s">
        <v>23</v>
      </c>
      <c r="F203" t="s">
        <v>28</v>
      </c>
      <c r="G203">
        <v>2018</v>
      </c>
      <c r="H203" t="s">
        <v>484</v>
      </c>
      <c r="K203" t="s">
        <v>25</v>
      </c>
      <c r="L203" t="s">
        <v>26</v>
      </c>
      <c r="M203" t="b">
        <v>1</v>
      </c>
      <c r="N203" t="s">
        <v>414</v>
      </c>
      <c r="P203" t="s">
        <v>415</v>
      </c>
      <c r="Q203" t="b">
        <v>1</v>
      </c>
      <c r="S203" t="str">
        <f>"9780310767480"</f>
        <v>9780310767480</v>
      </c>
      <c r="T203" t="str">
        <f>"9780310767725"</f>
        <v>9780310767725</v>
      </c>
      <c r="U203" t="b">
        <v>0</v>
      </c>
      <c r="W203" t="b">
        <v>0</v>
      </c>
    </row>
    <row r="204" spans="1:23" x14ac:dyDescent="0.3">
      <c r="A204">
        <v>3145363</v>
      </c>
      <c r="B204">
        <v>34.47</v>
      </c>
      <c r="C204" t="s">
        <v>485</v>
      </c>
      <c r="E204" t="s">
        <v>23</v>
      </c>
      <c r="F204" t="s">
        <v>28</v>
      </c>
      <c r="G204">
        <v>2019</v>
      </c>
      <c r="H204" t="s">
        <v>375</v>
      </c>
      <c r="K204" t="s">
        <v>25</v>
      </c>
      <c r="L204" t="s">
        <v>26</v>
      </c>
      <c r="M204" t="b">
        <v>1</v>
      </c>
      <c r="N204" t="s">
        <v>210</v>
      </c>
      <c r="P204" t="s">
        <v>333</v>
      </c>
      <c r="Q204" t="b">
        <v>0</v>
      </c>
      <c r="S204" t="str">
        <f>"9780310766254"</f>
        <v>9780310766254</v>
      </c>
      <c r="T204" t="str">
        <f>"9780310766346"</f>
        <v>9780310766346</v>
      </c>
      <c r="U204" t="b">
        <v>0</v>
      </c>
      <c r="W204" t="b">
        <v>0</v>
      </c>
    </row>
    <row r="205" spans="1:23" x14ac:dyDescent="0.3">
      <c r="A205">
        <v>3145362</v>
      </c>
      <c r="B205">
        <v>62.07</v>
      </c>
      <c r="C205" t="s">
        <v>486</v>
      </c>
      <c r="E205" t="s">
        <v>23</v>
      </c>
      <c r="F205" t="s">
        <v>28</v>
      </c>
      <c r="G205">
        <v>2018</v>
      </c>
      <c r="H205" t="s">
        <v>487</v>
      </c>
      <c r="K205" t="s">
        <v>25</v>
      </c>
      <c r="L205" t="s">
        <v>26</v>
      </c>
      <c r="M205" t="b">
        <v>1</v>
      </c>
      <c r="N205" t="s">
        <v>63</v>
      </c>
      <c r="Q205" t="b">
        <v>1</v>
      </c>
      <c r="S205" t="str">
        <f>"9780310752820"</f>
        <v>9780310752820</v>
      </c>
      <c r="T205" t="str">
        <f>"9780310752875"</f>
        <v>9780310752875</v>
      </c>
      <c r="U205" t="b">
        <v>0</v>
      </c>
      <c r="W205" t="b">
        <v>0</v>
      </c>
    </row>
    <row r="206" spans="1:23" x14ac:dyDescent="0.3">
      <c r="A206">
        <v>3145361</v>
      </c>
      <c r="B206">
        <v>34.47</v>
      </c>
      <c r="C206" t="s">
        <v>488</v>
      </c>
      <c r="E206" t="s">
        <v>23</v>
      </c>
      <c r="F206" t="s">
        <v>28</v>
      </c>
      <c r="G206">
        <v>2018</v>
      </c>
      <c r="H206" t="s">
        <v>489</v>
      </c>
      <c r="K206" t="s">
        <v>25</v>
      </c>
      <c r="L206" t="s">
        <v>26</v>
      </c>
      <c r="M206" t="b">
        <v>1</v>
      </c>
      <c r="N206" t="s">
        <v>44</v>
      </c>
      <c r="Q206" t="b">
        <v>1</v>
      </c>
      <c r="S206" t="str">
        <f>"9780310767008"</f>
        <v>9780310767008</v>
      </c>
      <c r="T206" t="str">
        <f>"9780310767039"</f>
        <v>9780310767039</v>
      </c>
      <c r="U206" t="b">
        <v>0</v>
      </c>
      <c r="W206" t="b">
        <v>0</v>
      </c>
    </row>
    <row r="207" spans="1:23" x14ac:dyDescent="0.3">
      <c r="A207">
        <v>3145360</v>
      </c>
      <c r="B207">
        <v>31.02</v>
      </c>
      <c r="C207" t="s">
        <v>490</v>
      </c>
      <c r="E207" t="s">
        <v>23</v>
      </c>
      <c r="F207" t="s">
        <v>28</v>
      </c>
      <c r="G207">
        <v>2018</v>
      </c>
      <c r="H207" t="s">
        <v>354</v>
      </c>
      <c r="K207" t="s">
        <v>25</v>
      </c>
      <c r="L207" t="s">
        <v>26</v>
      </c>
      <c r="M207" t="b">
        <v>1</v>
      </c>
      <c r="N207" t="s">
        <v>44</v>
      </c>
      <c r="P207" t="s">
        <v>199</v>
      </c>
      <c r="Q207" t="b">
        <v>1</v>
      </c>
      <c r="S207" t="str">
        <f>"9780310766360"</f>
        <v>9780310766360</v>
      </c>
      <c r="T207" t="str">
        <f>"9780310766377"</f>
        <v>9780310766377</v>
      </c>
      <c r="U207" t="b">
        <v>0</v>
      </c>
      <c r="W207" t="b">
        <v>0</v>
      </c>
    </row>
    <row r="208" spans="1:23" x14ac:dyDescent="0.3">
      <c r="A208">
        <v>3145359</v>
      </c>
      <c r="B208">
        <v>34.47</v>
      </c>
      <c r="C208" t="s">
        <v>491</v>
      </c>
      <c r="E208" t="s">
        <v>23</v>
      </c>
      <c r="F208" t="s">
        <v>28</v>
      </c>
      <c r="G208">
        <v>2018</v>
      </c>
      <c r="H208" t="s">
        <v>492</v>
      </c>
      <c r="K208" t="s">
        <v>25</v>
      </c>
      <c r="L208" t="s">
        <v>26</v>
      </c>
      <c r="M208" t="b">
        <v>1</v>
      </c>
      <c r="N208" t="s">
        <v>210</v>
      </c>
      <c r="Q208" t="b">
        <v>1</v>
      </c>
      <c r="S208" t="str">
        <f>"9780310762331"</f>
        <v>9780310762331</v>
      </c>
      <c r="T208" t="str">
        <f>"9780310762386"</f>
        <v>9780310762386</v>
      </c>
      <c r="U208" t="b">
        <v>0</v>
      </c>
      <c r="W208" t="b">
        <v>0</v>
      </c>
    </row>
    <row r="209" spans="1:23" x14ac:dyDescent="0.3">
      <c r="A209">
        <v>3145358</v>
      </c>
      <c r="B209">
        <v>34.47</v>
      </c>
      <c r="C209" t="s">
        <v>493</v>
      </c>
      <c r="E209" t="s">
        <v>23</v>
      </c>
      <c r="F209" t="s">
        <v>28</v>
      </c>
      <c r="G209">
        <v>2018</v>
      </c>
      <c r="H209" t="s">
        <v>492</v>
      </c>
      <c r="K209" t="s">
        <v>25</v>
      </c>
      <c r="L209" t="s">
        <v>26</v>
      </c>
      <c r="M209" t="b">
        <v>1</v>
      </c>
      <c r="N209" t="s">
        <v>210</v>
      </c>
      <c r="Q209" t="b">
        <v>1</v>
      </c>
      <c r="S209" t="str">
        <f>"9780310762430"</f>
        <v>9780310762430</v>
      </c>
      <c r="T209" t="str">
        <f>"9780310762348"</f>
        <v>9780310762348</v>
      </c>
      <c r="U209" t="b">
        <v>0</v>
      </c>
      <c r="W209" t="b">
        <v>0</v>
      </c>
    </row>
    <row r="210" spans="1:23" x14ac:dyDescent="0.3">
      <c r="A210">
        <v>3145357</v>
      </c>
      <c r="B210">
        <v>34.47</v>
      </c>
      <c r="C210" t="s">
        <v>494</v>
      </c>
      <c r="E210" t="s">
        <v>23</v>
      </c>
      <c r="F210" t="s">
        <v>28</v>
      </c>
      <c r="G210">
        <v>2018</v>
      </c>
      <c r="H210" t="s">
        <v>91</v>
      </c>
      <c r="K210" t="s">
        <v>25</v>
      </c>
      <c r="L210" t="s">
        <v>26</v>
      </c>
      <c r="M210" t="b">
        <v>1</v>
      </c>
      <c r="N210" t="s">
        <v>480</v>
      </c>
      <c r="Q210" t="b">
        <v>1</v>
      </c>
      <c r="S210" t="str">
        <f>"9780310761693"</f>
        <v>9780310761693</v>
      </c>
      <c r="T210" t="str">
        <f>"9780310761723"</f>
        <v>9780310761723</v>
      </c>
      <c r="U210" t="b">
        <v>0</v>
      </c>
      <c r="W210" t="b">
        <v>0</v>
      </c>
    </row>
    <row r="211" spans="1:23" x14ac:dyDescent="0.3">
      <c r="A211">
        <v>3145356</v>
      </c>
      <c r="B211">
        <v>17.22</v>
      </c>
      <c r="C211" t="s">
        <v>495</v>
      </c>
      <c r="D211" t="s">
        <v>93</v>
      </c>
      <c r="E211" t="s">
        <v>23</v>
      </c>
      <c r="F211" t="s">
        <v>28</v>
      </c>
      <c r="G211">
        <v>2018</v>
      </c>
      <c r="H211" t="s">
        <v>153</v>
      </c>
      <c r="K211" t="s">
        <v>25</v>
      </c>
      <c r="L211" t="s">
        <v>26</v>
      </c>
      <c r="M211" t="b">
        <v>1</v>
      </c>
      <c r="N211" t="s">
        <v>35</v>
      </c>
      <c r="P211" t="s">
        <v>257</v>
      </c>
      <c r="Q211" t="b">
        <v>1</v>
      </c>
      <c r="S211" t="str">
        <f>"9780310760245"</f>
        <v>9780310760245</v>
      </c>
      <c r="T211" t="str">
        <f>"9780310760283"</f>
        <v>9780310760283</v>
      </c>
      <c r="U211" t="b">
        <v>0</v>
      </c>
      <c r="W211" t="b">
        <v>0</v>
      </c>
    </row>
    <row r="212" spans="1:23" x14ac:dyDescent="0.3">
      <c r="A212">
        <v>3145355</v>
      </c>
      <c r="B212">
        <v>13.77</v>
      </c>
      <c r="C212" t="s">
        <v>496</v>
      </c>
      <c r="E212" t="s">
        <v>23</v>
      </c>
      <c r="F212" t="s">
        <v>28</v>
      </c>
      <c r="G212">
        <v>2018</v>
      </c>
      <c r="H212" t="s">
        <v>497</v>
      </c>
      <c r="K212" t="s">
        <v>25</v>
      </c>
      <c r="L212" t="s">
        <v>26</v>
      </c>
      <c r="M212" t="b">
        <v>1</v>
      </c>
      <c r="N212" t="s">
        <v>339</v>
      </c>
      <c r="P212" t="s">
        <v>36</v>
      </c>
      <c r="Q212" t="b">
        <v>1</v>
      </c>
      <c r="S212" t="str">
        <f>"9780310749233"</f>
        <v>9780310749233</v>
      </c>
      <c r="T212" t="str">
        <f>"9780310749332"</f>
        <v>9780310749332</v>
      </c>
      <c r="U212" t="b">
        <v>0</v>
      </c>
      <c r="W212" t="b">
        <v>0</v>
      </c>
    </row>
    <row r="213" spans="1:23" x14ac:dyDescent="0.3">
      <c r="A213">
        <v>3145354</v>
      </c>
      <c r="B213">
        <v>31.02</v>
      </c>
      <c r="C213" t="s">
        <v>498</v>
      </c>
      <c r="E213" t="s">
        <v>23</v>
      </c>
      <c r="F213" t="s">
        <v>28</v>
      </c>
      <c r="G213">
        <v>2018</v>
      </c>
      <c r="H213" t="s">
        <v>91</v>
      </c>
      <c r="K213" t="s">
        <v>25</v>
      </c>
      <c r="L213" t="s">
        <v>26</v>
      </c>
      <c r="M213" t="b">
        <v>1</v>
      </c>
      <c r="N213" t="s">
        <v>44</v>
      </c>
      <c r="P213" t="s">
        <v>462</v>
      </c>
      <c r="Q213" t="b">
        <v>0</v>
      </c>
      <c r="S213" t="str">
        <f>"9780310759768"</f>
        <v>9780310759768</v>
      </c>
      <c r="T213" t="str">
        <f>"9780310759775"</f>
        <v>9780310759775</v>
      </c>
      <c r="U213" t="b">
        <v>0</v>
      </c>
      <c r="W213" t="b">
        <v>0</v>
      </c>
    </row>
    <row r="214" spans="1:23" x14ac:dyDescent="0.3">
      <c r="A214">
        <v>3145353</v>
      </c>
      <c r="B214">
        <v>62.07</v>
      </c>
      <c r="C214" t="s">
        <v>499</v>
      </c>
      <c r="D214" t="s">
        <v>500</v>
      </c>
      <c r="E214" t="s">
        <v>23</v>
      </c>
      <c r="F214" t="s">
        <v>28</v>
      </c>
      <c r="G214">
        <v>2018</v>
      </c>
      <c r="H214" t="s">
        <v>168</v>
      </c>
      <c r="K214" t="s">
        <v>25</v>
      </c>
      <c r="L214" t="s">
        <v>145</v>
      </c>
      <c r="M214" t="b">
        <v>1</v>
      </c>
      <c r="N214" t="s">
        <v>501</v>
      </c>
      <c r="Q214" t="b">
        <v>0</v>
      </c>
      <c r="S214" t="str">
        <f>"9780310749738"</f>
        <v>9780310749738</v>
      </c>
      <c r="T214" t="str">
        <f>"9780310749639"</f>
        <v>9780310749639</v>
      </c>
      <c r="U214" t="b">
        <v>0</v>
      </c>
      <c r="W214" t="b">
        <v>0</v>
      </c>
    </row>
    <row r="215" spans="1:23" x14ac:dyDescent="0.3">
      <c r="A215">
        <v>3145352</v>
      </c>
      <c r="B215">
        <v>65.52</v>
      </c>
      <c r="C215" t="s">
        <v>502</v>
      </c>
      <c r="D215" t="s">
        <v>503</v>
      </c>
      <c r="E215" t="s">
        <v>23</v>
      </c>
      <c r="F215" t="s">
        <v>28</v>
      </c>
      <c r="G215">
        <v>2018</v>
      </c>
      <c r="H215" t="s">
        <v>243</v>
      </c>
      <c r="K215" t="s">
        <v>25</v>
      </c>
      <c r="L215" t="s">
        <v>145</v>
      </c>
      <c r="M215" t="b">
        <v>1</v>
      </c>
      <c r="N215" t="s">
        <v>504</v>
      </c>
      <c r="Q215" t="b">
        <v>1</v>
      </c>
      <c r="S215" t="str">
        <f>"9780310762034"</f>
        <v>9780310762034</v>
      </c>
      <c r="T215" t="str">
        <f>"9780310762072"</f>
        <v>9780310762072</v>
      </c>
      <c r="U215" t="b">
        <v>0</v>
      </c>
      <c r="W215" t="b">
        <v>0</v>
      </c>
    </row>
    <row r="216" spans="1:23" x14ac:dyDescent="0.3">
      <c r="A216">
        <v>3145351</v>
      </c>
      <c r="B216">
        <v>58.62</v>
      </c>
      <c r="C216" t="s">
        <v>505</v>
      </c>
      <c r="D216" t="s">
        <v>209</v>
      </c>
      <c r="E216" t="s">
        <v>23</v>
      </c>
      <c r="F216" t="s">
        <v>28</v>
      </c>
      <c r="G216">
        <v>2018</v>
      </c>
      <c r="H216" t="s">
        <v>326</v>
      </c>
      <c r="K216" t="s">
        <v>25</v>
      </c>
      <c r="L216" t="s">
        <v>26</v>
      </c>
      <c r="M216" t="b">
        <v>1</v>
      </c>
      <c r="N216" t="s">
        <v>210</v>
      </c>
      <c r="P216" t="s">
        <v>208</v>
      </c>
      <c r="Q216" t="b">
        <v>0</v>
      </c>
      <c r="S216" t="str">
        <f>"9780310760658"</f>
        <v>9780310760658</v>
      </c>
      <c r="T216" t="str">
        <f>"9780310760726"</f>
        <v>9780310760726</v>
      </c>
      <c r="U216" t="b">
        <v>0</v>
      </c>
      <c r="W216" t="b">
        <v>0</v>
      </c>
    </row>
    <row r="217" spans="1:23" x14ac:dyDescent="0.3">
      <c r="A217">
        <v>3145350</v>
      </c>
      <c r="B217">
        <v>56.82</v>
      </c>
      <c r="C217" t="s">
        <v>506</v>
      </c>
      <c r="D217" t="s">
        <v>507</v>
      </c>
      <c r="E217" t="s">
        <v>23</v>
      </c>
      <c r="F217" t="s">
        <v>28</v>
      </c>
      <c r="G217">
        <v>2018</v>
      </c>
      <c r="H217" t="s">
        <v>326</v>
      </c>
      <c r="K217" t="s">
        <v>25</v>
      </c>
      <c r="L217" t="s">
        <v>145</v>
      </c>
      <c r="M217" t="b">
        <v>1</v>
      </c>
      <c r="N217" t="s">
        <v>508</v>
      </c>
      <c r="Q217" t="b">
        <v>1</v>
      </c>
      <c r="S217" t="str">
        <f>"9780310757597"</f>
        <v>9780310757597</v>
      </c>
      <c r="T217" t="str">
        <f>"9780310757481"</f>
        <v>9780310757481</v>
      </c>
      <c r="U217" t="b">
        <v>0</v>
      </c>
      <c r="W217" t="b">
        <v>0</v>
      </c>
    </row>
    <row r="218" spans="1:23" x14ac:dyDescent="0.3">
      <c r="A218">
        <v>3145349</v>
      </c>
      <c r="B218">
        <v>31.02</v>
      </c>
      <c r="C218" t="s">
        <v>509</v>
      </c>
      <c r="E218" t="s">
        <v>23</v>
      </c>
      <c r="F218" t="s">
        <v>28</v>
      </c>
      <c r="G218">
        <v>2018</v>
      </c>
      <c r="H218" t="s">
        <v>265</v>
      </c>
      <c r="K218" t="s">
        <v>25</v>
      </c>
      <c r="L218" t="s">
        <v>26</v>
      </c>
      <c r="M218" t="b">
        <v>1</v>
      </c>
      <c r="N218" t="s">
        <v>510</v>
      </c>
      <c r="Q218" t="b">
        <v>1</v>
      </c>
      <c r="S218" t="str">
        <f>"9780310762096"</f>
        <v>9780310762096</v>
      </c>
      <c r="T218" t="str">
        <f>"9780310762102"</f>
        <v>9780310762102</v>
      </c>
      <c r="U218" t="b">
        <v>0</v>
      </c>
      <c r="W218" t="b">
        <v>0</v>
      </c>
    </row>
    <row r="219" spans="1:23" x14ac:dyDescent="0.3">
      <c r="A219">
        <v>3145348</v>
      </c>
      <c r="B219">
        <v>31.02</v>
      </c>
      <c r="C219" t="s">
        <v>511</v>
      </c>
      <c r="E219" t="s">
        <v>23</v>
      </c>
      <c r="F219" t="s">
        <v>28</v>
      </c>
      <c r="G219">
        <v>2017</v>
      </c>
      <c r="H219" t="s">
        <v>336</v>
      </c>
      <c r="K219" t="s">
        <v>25</v>
      </c>
      <c r="L219" t="s">
        <v>26</v>
      </c>
      <c r="M219" t="b">
        <v>1</v>
      </c>
      <c r="N219" t="s">
        <v>474</v>
      </c>
      <c r="Q219" t="b">
        <v>1</v>
      </c>
      <c r="S219" t="str">
        <f>"9780310758150"</f>
        <v>9780310758150</v>
      </c>
      <c r="T219" t="str">
        <f>"9780310758174"</f>
        <v>9780310758174</v>
      </c>
      <c r="U219" t="b">
        <v>0</v>
      </c>
      <c r="W219" t="b">
        <v>0</v>
      </c>
    </row>
    <row r="220" spans="1:23" x14ac:dyDescent="0.3">
      <c r="A220">
        <v>3145347</v>
      </c>
      <c r="B220">
        <v>34.47</v>
      </c>
      <c r="C220" t="s">
        <v>512</v>
      </c>
      <c r="E220" t="s">
        <v>23</v>
      </c>
      <c r="F220" t="s">
        <v>28</v>
      </c>
      <c r="G220">
        <v>2018</v>
      </c>
      <c r="H220" t="s">
        <v>265</v>
      </c>
      <c r="K220" t="s">
        <v>25</v>
      </c>
      <c r="L220" t="s">
        <v>26</v>
      </c>
      <c r="M220" t="b">
        <v>1</v>
      </c>
      <c r="N220" t="s">
        <v>146</v>
      </c>
      <c r="P220" t="s">
        <v>146</v>
      </c>
      <c r="Q220" t="b">
        <v>1</v>
      </c>
      <c r="S220" t="str">
        <f>"9780310760047"</f>
        <v>9780310760047</v>
      </c>
      <c r="T220" t="str">
        <f>"9780310760078"</f>
        <v>9780310760078</v>
      </c>
      <c r="U220" t="b">
        <v>0</v>
      </c>
      <c r="W220" t="b">
        <v>0</v>
      </c>
    </row>
    <row r="221" spans="1:23" x14ac:dyDescent="0.3">
      <c r="A221">
        <v>3145346</v>
      </c>
      <c r="B221">
        <v>10.63</v>
      </c>
      <c r="C221" t="s">
        <v>513</v>
      </c>
      <c r="D221" t="s">
        <v>143</v>
      </c>
      <c r="E221" t="s">
        <v>23</v>
      </c>
      <c r="F221" t="s">
        <v>28</v>
      </c>
      <c r="G221">
        <v>2017</v>
      </c>
      <c r="H221" t="s">
        <v>144</v>
      </c>
      <c r="K221" t="s">
        <v>25</v>
      </c>
      <c r="L221" t="s">
        <v>26</v>
      </c>
      <c r="M221" t="b">
        <v>1</v>
      </c>
      <c r="N221" t="s">
        <v>146</v>
      </c>
      <c r="P221" t="s">
        <v>147</v>
      </c>
      <c r="Q221" t="b">
        <v>0</v>
      </c>
      <c r="T221" t="str">
        <f>"9780310760320"</f>
        <v>9780310760320</v>
      </c>
      <c r="U221" t="b">
        <v>0</v>
      </c>
      <c r="W221" t="b">
        <v>0</v>
      </c>
    </row>
    <row r="222" spans="1:23" x14ac:dyDescent="0.3">
      <c r="A222">
        <v>3145345</v>
      </c>
      <c r="B222">
        <v>17.22</v>
      </c>
      <c r="C222" t="s">
        <v>514</v>
      </c>
      <c r="D222" t="s">
        <v>143</v>
      </c>
      <c r="E222" t="s">
        <v>23</v>
      </c>
      <c r="F222" t="s">
        <v>28</v>
      </c>
      <c r="G222">
        <v>2017</v>
      </c>
      <c r="H222" t="s">
        <v>144</v>
      </c>
      <c r="K222" t="s">
        <v>25</v>
      </c>
      <c r="L222" t="s">
        <v>26</v>
      </c>
      <c r="M222" t="b">
        <v>1</v>
      </c>
      <c r="N222" t="s">
        <v>146</v>
      </c>
      <c r="P222" t="s">
        <v>147</v>
      </c>
      <c r="Q222" t="b">
        <v>0</v>
      </c>
      <c r="S222" t="str">
        <f>"9780310760412"</f>
        <v>9780310760412</v>
      </c>
      <c r="T222" t="str">
        <f>"9780310760429"</f>
        <v>9780310760429</v>
      </c>
      <c r="U222" t="b">
        <v>0</v>
      </c>
      <c r="W222" t="b">
        <v>0</v>
      </c>
    </row>
    <row r="223" spans="1:23" x14ac:dyDescent="0.3">
      <c r="A223">
        <v>3145344</v>
      </c>
      <c r="B223">
        <v>13.77</v>
      </c>
      <c r="C223" t="s">
        <v>515</v>
      </c>
      <c r="E223" t="s">
        <v>23</v>
      </c>
      <c r="F223" t="s">
        <v>28</v>
      </c>
      <c r="G223">
        <v>2017</v>
      </c>
      <c r="H223" t="s">
        <v>34</v>
      </c>
      <c r="K223" t="s">
        <v>25</v>
      </c>
      <c r="L223" t="s">
        <v>26</v>
      </c>
      <c r="M223" t="b">
        <v>1</v>
      </c>
      <c r="N223" t="s">
        <v>339</v>
      </c>
      <c r="P223" t="s">
        <v>36</v>
      </c>
      <c r="Q223" t="b">
        <v>1</v>
      </c>
      <c r="S223" t="str">
        <f>"9780310749042"</f>
        <v>9780310749042</v>
      </c>
      <c r="T223" t="str">
        <f>"9780310749158"</f>
        <v>9780310749158</v>
      </c>
      <c r="U223" t="b">
        <v>0</v>
      </c>
      <c r="W223" t="b">
        <v>0</v>
      </c>
    </row>
    <row r="224" spans="1:23" x14ac:dyDescent="0.3">
      <c r="A224">
        <v>3145343</v>
      </c>
      <c r="B224">
        <v>34.47</v>
      </c>
      <c r="C224" t="s">
        <v>516</v>
      </c>
      <c r="E224" t="s">
        <v>23</v>
      </c>
      <c r="F224" t="s">
        <v>28</v>
      </c>
      <c r="G224">
        <v>2017</v>
      </c>
      <c r="H224" t="s">
        <v>91</v>
      </c>
      <c r="K224" t="s">
        <v>25</v>
      </c>
      <c r="L224" t="s">
        <v>26</v>
      </c>
      <c r="M224" t="b">
        <v>1</v>
      </c>
      <c r="N224" t="s">
        <v>210</v>
      </c>
      <c r="P224" t="s">
        <v>333</v>
      </c>
      <c r="Q224" t="b">
        <v>0</v>
      </c>
      <c r="S224" t="str">
        <f>"9780310761327"</f>
        <v>9780310761327</v>
      </c>
      <c r="T224" t="str">
        <f>"9780310761426"</f>
        <v>9780310761426</v>
      </c>
      <c r="U224" t="b">
        <v>0</v>
      </c>
      <c r="W224" t="b">
        <v>0</v>
      </c>
    </row>
    <row r="225" spans="1:23" x14ac:dyDescent="0.3">
      <c r="A225">
        <v>3145342</v>
      </c>
      <c r="B225">
        <v>68.97</v>
      </c>
      <c r="C225" t="s">
        <v>517</v>
      </c>
      <c r="D225" t="s">
        <v>518</v>
      </c>
      <c r="E225" t="s">
        <v>23</v>
      </c>
      <c r="F225" t="s">
        <v>28</v>
      </c>
      <c r="G225">
        <v>2017</v>
      </c>
      <c r="H225" t="s">
        <v>192</v>
      </c>
      <c r="K225" t="s">
        <v>25</v>
      </c>
      <c r="L225" t="s">
        <v>145</v>
      </c>
      <c r="M225" t="b">
        <v>1</v>
      </c>
      <c r="N225" t="s">
        <v>519</v>
      </c>
      <c r="Q225" t="b">
        <v>1</v>
      </c>
      <c r="S225" t="str">
        <f>"9780310757436"</f>
        <v>9780310757436</v>
      </c>
      <c r="T225" t="str">
        <f>"9780310757542"</f>
        <v>9780310757542</v>
      </c>
      <c r="U225" t="b">
        <v>0</v>
      </c>
      <c r="W225" t="b">
        <v>0</v>
      </c>
    </row>
    <row r="226" spans="1:23" x14ac:dyDescent="0.3">
      <c r="A226">
        <v>3145341</v>
      </c>
      <c r="B226">
        <v>62.07</v>
      </c>
      <c r="C226" t="s">
        <v>520</v>
      </c>
      <c r="E226" t="s">
        <v>23</v>
      </c>
      <c r="F226" t="s">
        <v>28</v>
      </c>
      <c r="G226">
        <v>2017</v>
      </c>
      <c r="H226" t="s">
        <v>34</v>
      </c>
      <c r="K226" t="s">
        <v>25</v>
      </c>
      <c r="L226" t="s">
        <v>26</v>
      </c>
      <c r="M226" t="b">
        <v>1</v>
      </c>
      <c r="N226" t="s">
        <v>63</v>
      </c>
      <c r="Q226" t="b">
        <v>1</v>
      </c>
      <c r="S226" t="str">
        <f>"9780310752479"</f>
        <v>9780310752479</v>
      </c>
      <c r="T226" t="str">
        <f>"9780310752660"</f>
        <v>9780310752660</v>
      </c>
      <c r="U226" t="b">
        <v>0</v>
      </c>
      <c r="W226" t="b">
        <v>0</v>
      </c>
    </row>
    <row r="227" spans="1:23" x14ac:dyDescent="0.3">
      <c r="A227">
        <v>3145340</v>
      </c>
      <c r="B227">
        <v>62.07</v>
      </c>
      <c r="C227" t="s">
        <v>521</v>
      </c>
      <c r="E227" t="s">
        <v>23</v>
      </c>
      <c r="F227" t="s">
        <v>28</v>
      </c>
      <c r="G227">
        <v>2017</v>
      </c>
      <c r="H227" t="s">
        <v>192</v>
      </c>
      <c r="K227" t="s">
        <v>25</v>
      </c>
      <c r="L227" t="s">
        <v>26</v>
      </c>
      <c r="M227" t="b">
        <v>1</v>
      </c>
      <c r="N227" t="s">
        <v>210</v>
      </c>
      <c r="P227" t="s">
        <v>359</v>
      </c>
      <c r="Q227" t="b">
        <v>1</v>
      </c>
      <c r="S227" t="str">
        <f>"9780310745532"</f>
        <v>9780310745532</v>
      </c>
      <c r="T227" t="str">
        <f>"9780310745273"</f>
        <v>9780310745273</v>
      </c>
      <c r="U227" t="b">
        <v>0</v>
      </c>
      <c r="W227" t="b">
        <v>0</v>
      </c>
    </row>
    <row r="228" spans="1:23" x14ac:dyDescent="0.3">
      <c r="A228">
        <v>3145338</v>
      </c>
      <c r="B228">
        <v>31.02</v>
      </c>
      <c r="C228" t="s">
        <v>522</v>
      </c>
      <c r="E228" t="s">
        <v>23</v>
      </c>
      <c r="F228" t="s">
        <v>28</v>
      </c>
      <c r="G228">
        <v>2017</v>
      </c>
      <c r="H228" t="s">
        <v>466</v>
      </c>
      <c r="K228" t="s">
        <v>25</v>
      </c>
      <c r="L228" t="s">
        <v>26</v>
      </c>
      <c r="M228" t="b">
        <v>1</v>
      </c>
      <c r="N228" t="s">
        <v>523</v>
      </c>
      <c r="Q228" t="b">
        <v>0</v>
      </c>
      <c r="S228" t="str">
        <f>"9780310757368"</f>
        <v>9780310757368</v>
      </c>
      <c r="T228" t="str">
        <f>"9780310757344"</f>
        <v>9780310757344</v>
      </c>
      <c r="U228" t="b">
        <v>0</v>
      </c>
      <c r="W228" t="b">
        <v>0</v>
      </c>
    </row>
    <row r="229" spans="1:23" x14ac:dyDescent="0.3">
      <c r="A229">
        <v>3145337</v>
      </c>
      <c r="B229">
        <v>58.62</v>
      </c>
      <c r="C229" t="s">
        <v>524</v>
      </c>
      <c r="D229" t="s">
        <v>525</v>
      </c>
      <c r="E229" t="s">
        <v>23</v>
      </c>
      <c r="F229" t="s">
        <v>28</v>
      </c>
      <c r="G229">
        <v>2017</v>
      </c>
      <c r="H229" t="s">
        <v>526</v>
      </c>
      <c r="K229" t="s">
        <v>25</v>
      </c>
      <c r="L229" t="s">
        <v>26</v>
      </c>
      <c r="M229" t="b">
        <v>1</v>
      </c>
      <c r="N229" t="s">
        <v>527</v>
      </c>
      <c r="Q229" t="b">
        <v>1</v>
      </c>
      <c r="S229" t="str">
        <f>"9780310758327"</f>
        <v>9780310758327</v>
      </c>
      <c r="T229" t="str">
        <f>"9780310758235"</f>
        <v>9780310758235</v>
      </c>
      <c r="U229" t="b">
        <v>0</v>
      </c>
      <c r="W229" t="b">
        <v>0</v>
      </c>
    </row>
    <row r="230" spans="1:23" x14ac:dyDescent="0.3">
      <c r="A230">
        <v>3145336</v>
      </c>
      <c r="B230">
        <v>34.47</v>
      </c>
      <c r="C230" t="s">
        <v>528</v>
      </c>
      <c r="E230" t="s">
        <v>23</v>
      </c>
      <c r="F230" t="s">
        <v>28</v>
      </c>
      <c r="G230">
        <v>2017</v>
      </c>
      <c r="H230" t="s">
        <v>75</v>
      </c>
      <c r="K230" t="s">
        <v>25</v>
      </c>
      <c r="L230" t="s">
        <v>145</v>
      </c>
      <c r="M230" t="b">
        <v>1</v>
      </c>
      <c r="N230" t="s">
        <v>529</v>
      </c>
      <c r="Q230" t="b">
        <v>0</v>
      </c>
      <c r="S230" t="str">
        <f>"9780310759317"</f>
        <v>9780310759317</v>
      </c>
      <c r="T230" t="str">
        <f>"9780310759379"</f>
        <v>9780310759379</v>
      </c>
      <c r="U230" t="b">
        <v>0</v>
      </c>
      <c r="W230" t="b">
        <v>0</v>
      </c>
    </row>
    <row r="231" spans="1:23" x14ac:dyDescent="0.3">
      <c r="A231">
        <v>3145335</v>
      </c>
      <c r="B231">
        <v>34.47</v>
      </c>
      <c r="C231" t="s">
        <v>530</v>
      </c>
      <c r="E231" t="s">
        <v>23</v>
      </c>
      <c r="F231" t="s">
        <v>28</v>
      </c>
      <c r="G231">
        <v>2017</v>
      </c>
      <c r="H231" t="s">
        <v>531</v>
      </c>
      <c r="K231" t="s">
        <v>25</v>
      </c>
      <c r="L231" t="s">
        <v>26</v>
      </c>
      <c r="M231" t="b">
        <v>1</v>
      </c>
      <c r="N231" t="s">
        <v>44</v>
      </c>
      <c r="Q231" t="b">
        <v>0</v>
      </c>
      <c r="S231" t="str">
        <f>"9780310761709"</f>
        <v>9780310761709</v>
      </c>
      <c r="T231" t="str">
        <f>"9780310761754"</f>
        <v>9780310761754</v>
      </c>
      <c r="U231" t="b">
        <v>0</v>
      </c>
      <c r="W231" t="b">
        <v>0</v>
      </c>
    </row>
    <row r="232" spans="1:23" x14ac:dyDescent="0.3">
      <c r="A232">
        <v>3145334</v>
      </c>
      <c r="B232">
        <v>62.07</v>
      </c>
      <c r="C232" t="s">
        <v>532</v>
      </c>
      <c r="E232" t="s">
        <v>23</v>
      </c>
      <c r="F232" t="s">
        <v>28</v>
      </c>
      <c r="G232">
        <v>2017</v>
      </c>
      <c r="H232" t="s">
        <v>153</v>
      </c>
      <c r="K232" t="s">
        <v>25</v>
      </c>
      <c r="L232" t="s">
        <v>26</v>
      </c>
      <c r="M232" t="b">
        <v>1</v>
      </c>
      <c r="N232" t="s">
        <v>44</v>
      </c>
      <c r="Q232" t="b">
        <v>1</v>
      </c>
      <c r="S232" t="str">
        <f>"9780310733294"</f>
        <v>9780310733294</v>
      </c>
      <c r="T232" t="str">
        <f>"9780310743521"</f>
        <v>9780310743521</v>
      </c>
      <c r="U232" t="b">
        <v>0</v>
      </c>
      <c r="W232" t="b">
        <v>0</v>
      </c>
    </row>
    <row r="233" spans="1:23" x14ac:dyDescent="0.3">
      <c r="A233">
        <v>3145333</v>
      </c>
      <c r="B233">
        <v>31.02</v>
      </c>
      <c r="C233" t="s">
        <v>533</v>
      </c>
      <c r="E233" t="s">
        <v>23</v>
      </c>
      <c r="F233" t="s">
        <v>28</v>
      </c>
      <c r="G233">
        <v>2017</v>
      </c>
      <c r="H233" t="s">
        <v>91</v>
      </c>
      <c r="K233" t="s">
        <v>25</v>
      </c>
      <c r="L233" t="s">
        <v>26</v>
      </c>
      <c r="M233" t="b">
        <v>1</v>
      </c>
      <c r="N233" t="s">
        <v>44</v>
      </c>
      <c r="P233" t="s">
        <v>462</v>
      </c>
      <c r="Q233" t="b">
        <v>1</v>
      </c>
      <c r="S233" t="str">
        <f>"9780310759591"</f>
        <v>9780310759591</v>
      </c>
      <c r="T233" t="str">
        <f>"9780310759713"</f>
        <v>9780310759713</v>
      </c>
      <c r="U233" t="b">
        <v>0</v>
      </c>
      <c r="W233" t="b">
        <v>0</v>
      </c>
    </row>
    <row r="234" spans="1:23" x14ac:dyDescent="0.3">
      <c r="A234">
        <v>3145331</v>
      </c>
      <c r="B234">
        <v>13.77</v>
      </c>
      <c r="C234" t="s">
        <v>534</v>
      </c>
      <c r="E234" t="s">
        <v>23</v>
      </c>
      <c r="F234" t="s">
        <v>28</v>
      </c>
      <c r="G234">
        <v>2017</v>
      </c>
      <c r="H234" t="s">
        <v>34</v>
      </c>
      <c r="K234" t="s">
        <v>25</v>
      </c>
      <c r="L234" t="s">
        <v>26</v>
      </c>
      <c r="M234" t="b">
        <v>1</v>
      </c>
      <c r="N234" t="s">
        <v>339</v>
      </c>
      <c r="P234" t="s">
        <v>36</v>
      </c>
      <c r="Q234" t="b">
        <v>1</v>
      </c>
      <c r="S234" t="str">
        <f>"9780310748441"</f>
        <v>9780310748441</v>
      </c>
      <c r="T234" t="str">
        <f>"9780310749066"</f>
        <v>9780310749066</v>
      </c>
      <c r="U234" t="b">
        <v>0</v>
      </c>
      <c r="W234" t="b">
        <v>0</v>
      </c>
    </row>
    <row r="235" spans="1:23" x14ac:dyDescent="0.3">
      <c r="A235">
        <v>3145330</v>
      </c>
      <c r="B235">
        <v>34.47</v>
      </c>
      <c r="C235" t="s">
        <v>535</v>
      </c>
      <c r="E235" t="s">
        <v>23</v>
      </c>
      <c r="F235" t="s">
        <v>28</v>
      </c>
      <c r="G235">
        <v>2017</v>
      </c>
      <c r="H235" t="s">
        <v>91</v>
      </c>
      <c r="K235" t="s">
        <v>25</v>
      </c>
      <c r="L235" t="s">
        <v>26</v>
      </c>
      <c r="M235" t="b">
        <v>1</v>
      </c>
      <c r="N235" t="s">
        <v>146</v>
      </c>
      <c r="P235" t="s">
        <v>146</v>
      </c>
      <c r="Q235" t="b">
        <v>0</v>
      </c>
      <c r="S235" t="str">
        <f>"9780310759577"</f>
        <v>9780310759577</v>
      </c>
      <c r="T235" t="str">
        <f>"9780310759911"</f>
        <v>9780310759911</v>
      </c>
      <c r="U235" t="b">
        <v>0</v>
      </c>
      <c r="W235" t="b">
        <v>0</v>
      </c>
    </row>
    <row r="236" spans="1:23" x14ac:dyDescent="0.3">
      <c r="A236">
        <v>3145329</v>
      </c>
      <c r="B236">
        <v>58.62</v>
      </c>
      <c r="C236" t="s">
        <v>536</v>
      </c>
      <c r="E236" t="s">
        <v>23</v>
      </c>
      <c r="F236" t="s">
        <v>28</v>
      </c>
      <c r="G236">
        <v>2017</v>
      </c>
      <c r="H236" t="s">
        <v>75</v>
      </c>
      <c r="K236" t="s">
        <v>25</v>
      </c>
      <c r="L236" t="s">
        <v>26</v>
      </c>
      <c r="M236" t="b">
        <v>1</v>
      </c>
      <c r="N236" t="s">
        <v>210</v>
      </c>
      <c r="P236" t="s">
        <v>208</v>
      </c>
      <c r="Q236" t="b">
        <v>0</v>
      </c>
      <c r="S236" t="str">
        <f>"9780310753285"</f>
        <v>9780310753285</v>
      </c>
      <c r="T236" t="str">
        <f>"9780310753094"</f>
        <v>9780310753094</v>
      </c>
      <c r="U236" t="b">
        <v>0</v>
      </c>
      <c r="W236" t="b">
        <v>0</v>
      </c>
    </row>
    <row r="237" spans="1:23" x14ac:dyDescent="0.3">
      <c r="A237">
        <v>3145328</v>
      </c>
      <c r="B237">
        <v>51.72</v>
      </c>
      <c r="C237" t="s">
        <v>537</v>
      </c>
      <c r="D237" t="s">
        <v>421</v>
      </c>
      <c r="E237" t="s">
        <v>23</v>
      </c>
      <c r="F237" t="s">
        <v>28</v>
      </c>
      <c r="G237">
        <v>2017</v>
      </c>
      <c r="H237" t="s">
        <v>422</v>
      </c>
      <c r="K237" t="s">
        <v>25</v>
      </c>
      <c r="L237" t="s">
        <v>26</v>
      </c>
      <c r="M237" t="b">
        <v>1</v>
      </c>
      <c r="N237" t="s">
        <v>538</v>
      </c>
      <c r="Q237" t="b">
        <v>0</v>
      </c>
      <c r="S237" t="str">
        <f>"9780310758105"</f>
        <v>9780310758105</v>
      </c>
      <c r="T237" t="str">
        <f>"9780310758129"</f>
        <v>9780310758129</v>
      </c>
      <c r="U237" t="b">
        <v>0</v>
      </c>
      <c r="W237" t="b">
        <v>0</v>
      </c>
    </row>
    <row r="238" spans="1:23" x14ac:dyDescent="0.3">
      <c r="A238">
        <v>3145327</v>
      </c>
      <c r="B238">
        <v>34.47</v>
      </c>
      <c r="C238" t="s">
        <v>539</v>
      </c>
      <c r="E238" t="s">
        <v>23</v>
      </c>
      <c r="F238" t="s">
        <v>28</v>
      </c>
      <c r="G238">
        <v>2017</v>
      </c>
      <c r="H238" t="s">
        <v>168</v>
      </c>
      <c r="K238" t="s">
        <v>25</v>
      </c>
      <c r="L238" t="s">
        <v>26</v>
      </c>
      <c r="M238" t="b">
        <v>1</v>
      </c>
      <c r="N238" t="s">
        <v>540</v>
      </c>
      <c r="P238" t="s">
        <v>541</v>
      </c>
      <c r="Q238" t="b">
        <v>0</v>
      </c>
      <c r="S238" t="str">
        <f>"9780310758693"</f>
        <v>9780310758693</v>
      </c>
      <c r="T238" t="str">
        <f>"9780310758679"</f>
        <v>9780310758679</v>
      </c>
      <c r="U238" t="b">
        <v>0</v>
      </c>
      <c r="W238" t="b">
        <v>0</v>
      </c>
    </row>
    <row r="239" spans="1:23" x14ac:dyDescent="0.3">
      <c r="A239">
        <v>3145326</v>
      </c>
      <c r="B239">
        <v>51.72</v>
      </c>
      <c r="C239" t="s">
        <v>542</v>
      </c>
      <c r="D239" t="s">
        <v>279</v>
      </c>
      <c r="E239" t="s">
        <v>23</v>
      </c>
      <c r="F239" t="s">
        <v>28</v>
      </c>
      <c r="G239">
        <v>2017</v>
      </c>
      <c r="H239" t="s">
        <v>168</v>
      </c>
      <c r="K239" t="s">
        <v>25</v>
      </c>
      <c r="L239" t="s">
        <v>145</v>
      </c>
      <c r="M239" t="b">
        <v>1</v>
      </c>
      <c r="N239" t="s">
        <v>44</v>
      </c>
      <c r="P239" t="s">
        <v>541</v>
      </c>
      <c r="Q239" t="b">
        <v>0</v>
      </c>
      <c r="S239" t="str">
        <f>"9780310756217"</f>
        <v>9780310756217</v>
      </c>
      <c r="T239" t="str">
        <f>"9780310756248"</f>
        <v>9780310756248</v>
      </c>
      <c r="U239" t="b">
        <v>0</v>
      </c>
      <c r="W239" t="b">
        <v>0</v>
      </c>
    </row>
    <row r="240" spans="1:23" x14ac:dyDescent="0.3">
      <c r="A240">
        <v>3145325</v>
      </c>
      <c r="B240">
        <v>34.47</v>
      </c>
      <c r="C240" t="s">
        <v>543</v>
      </c>
      <c r="E240" t="s">
        <v>23</v>
      </c>
      <c r="F240" t="s">
        <v>28</v>
      </c>
      <c r="G240">
        <v>2018</v>
      </c>
      <c r="H240" t="s">
        <v>484</v>
      </c>
      <c r="K240" t="s">
        <v>25</v>
      </c>
      <c r="L240" t="s">
        <v>26</v>
      </c>
      <c r="M240" t="b">
        <v>1</v>
      </c>
      <c r="N240" t="s">
        <v>321</v>
      </c>
      <c r="Q240" t="b">
        <v>1</v>
      </c>
      <c r="S240" t="str">
        <f>"9780310762126"</f>
        <v>9780310762126</v>
      </c>
      <c r="T240" t="str">
        <f>"9780310762140"</f>
        <v>9780310762140</v>
      </c>
      <c r="U240" t="b">
        <v>0</v>
      </c>
      <c r="W240" t="b">
        <v>0</v>
      </c>
    </row>
    <row r="241" spans="1:23" x14ac:dyDescent="0.3">
      <c r="A241">
        <v>3145324</v>
      </c>
      <c r="B241">
        <v>17.22</v>
      </c>
      <c r="C241" t="s">
        <v>544</v>
      </c>
      <c r="D241" t="s">
        <v>93</v>
      </c>
      <c r="E241" t="s">
        <v>23</v>
      </c>
      <c r="F241" t="s">
        <v>28</v>
      </c>
      <c r="G241">
        <v>2017</v>
      </c>
      <c r="H241" t="s">
        <v>153</v>
      </c>
      <c r="K241" t="s">
        <v>25</v>
      </c>
      <c r="L241" t="s">
        <v>26</v>
      </c>
      <c r="M241" t="b">
        <v>1</v>
      </c>
      <c r="N241" t="s">
        <v>35</v>
      </c>
      <c r="P241" t="s">
        <v>257</v>
      </c>
      <c r="Q241" t="b">
        <v>1</v>
      </c>
      <c r="S241" t="str">
        <f>"9780310760184"</f>
        <v>9780310760184</v>
      </c>
      <c r="T241" t="str">
        <f>"9780310760146"</f>
        <v>9780310760146</v>
      </c>
      <c r="U241" t="b">
        <v>0</v>
      </c>
      <c r="W241" t="b">
        <v>0</v>
      </c>
    </row>
    <row r="242" spans="1:23" x14ac:dyDescent="0.3">
      <c r="A242">
        <v>3145323</v>
      </c>
      <c r="B242">
        <v>13.77</v>
      </c>
      <c r="C242" t="s">
        <v>545</v>
      </c>
      <c r="E242" t="s">
        <v>23</v>
      </c>
      <c r="F242" t="s">
        <v>28</v>
      </c>
      <c r="G242">
        <v>2017</v>
      </c>
      <c r="H242" t="s">
        <v>38</v>
      </c>
      <c r="K242" t="s">
        <v>25</v>
      </c>
      <c r="L242" t="s">
        <v>26</v>
      </c>
      <c r="M242" t="b">
        <v>1</v>
      </c>
      <c r="N242" t="s">
        <v>339</v>
      </c>
      <c r="P242" t="s">
        <v>36</v>
      </c>
      <c r="Q242" t="b">
        <v>1</v>
      </c>
      <c r="S242" t="str">
        <f>"9780310748823"</f>
        <v>9780310748823</v>
      </c>
      <c r="T242" t="str">
        <f>"9780310749011"</f>
        <v>9780310749011</v>
      </c>
      <c r="U242" t="b">
        <v>0</v>
      </c>
      <c r="W242" t="b">
        <v>0</v>
      </c>
    </row>
    <row r="243" spans="1:23" x14ac:dyDescent="0.3">
      <c r="A243">
        <v>3145322</v>
      </c>
      <c r="B243">
        <v>37.92</v>
      </c>
      <c r="C243" t="s">
        <v>546</v>
      </c>
      <c r="D243" t="s">
        <v>547</v>
      </c>
      <c r="E243" t="s">
        <v>23</v>
      </c>
      <c r="F243" t="s">
        <v>28</v>
      </c>
      <c r="G243">
        <v>2017</v>
      </c>
      <c r="H243" t="s">
        <v>91</v>
      </c>
      <c r="K243" t="s">
        <v>25</v>
      </c>
      <c r="L243" t="s">
        <v>26</v>
      </c>
      <c r="M243" t="b">
        <v>1</v>
      </c>
      <c r="N243" t="s">
        <v>317</v>
      </c>
      <c r="P243" t="s">
        <v>363</v>
      </c>
      <c r="Q243" t="b">
        <v>0</v>
      </c>
      <c r="S243" t="str">
        <f>"9780310757504"</f>
        <v>9780310757504</v>
      </c>
      <c r="T243" t="str">
        <f>"9780310757528"</f>
        <v>9780310757528</v>
      </c>
      <c r="U243" t="b">
        <v>0</v>
      </c>
      <c r="W243" t="b">
        <v>0</v>
      </c>
    </row>
    <row r="244" spans="1:23" x14ac:dyDescent="0.3">
      <c r="A244">
        <v>3145321</v>
      </c>
      <c r="B244">
        <v>62.07</v>
      </c>
      <c r="C244" t="s">
        <v>548</v>
      </c>
      <c r="D244" t="s">
        <v>549</v>
      </c>
      <c r="E244" t="s">
        <v>23</v>
      </c>
      <c r="F244" t="s">
        <v>28</v>
      </c>
      <c r="G244">
        <v>2017</v>
      </c>
      <c r="H244" t="s">
        <v>341</v>
      </c>
      <c r="K244" t="s">
        <v>25</v>
      </c>
      <c r="L244" t="s">
        <v>145</v>
      </c>
      <c r="M244" t="b">
        <v>1</v>
      </c>
      <c r="N244" t="s">
        <v>550</v>
      </c>
      <c r="Q244" t="b">
        <v>0</v>
      </c>
      <c r="S244" t="str">
        <f>"9780310749806"</f>
        <v>9780310749806</v>
      </c>
      <c r="T244" t="str">
        <f>"9780310749752"</f>
        <v>9780310749752</v>
      </c>
      <c r="U244" t="b">
        <v>0</v>
      </c>
      <c r="W244" t="b">
        <v>0</v>
      </c>
    </row>
    <row r="245" spans="1:23" x14ac:dyDescent="0.3">
      <c r="A245">
        <v>3145320</v>
      </c>
      <c r="B245">
        <v>31.02</v>
      </c>
      <c r="C245" t="s">
        <v>551</v>
      </c>
      <c r="E245" t="s">
        <v>23</v>
      </c>
      <c r="F245" t="s">
        <v>28</v>
      </c>
      <c r="G245">
        <v>2017</v>
      </c>
      <c r="H245" t="s">
        <v>326</v>
      </c>
      <c r="K245" t="s">
        <v>25</v>
      </c>
      <c r="L245" t="s">
        <v>26</v>
      </c>
      <c r="M245" t="b">
        <v>1</v>
      </c>
      <c r="N245" t="s">
        <v>44</v>
      </c>
      <c r="P245" t="s">
        <v>462</v>
      </c>
      <c r="Q245" t="b">
        <v>0</v>
      </c>
      <c r="S245" t="str">
        <f>"9780310757696"</f>
        <v>9780310757696</v>
      </c>
      <c r="T245" t="str">
        <f>"9780310757856"</f>
        <v>9780310757856</v>
      </c>
      <c r="U245" t="b">
        <v>0</v>
      </c>
      <c r="W245" t="b">
        <v>0</v>
      </c>
    </row>
    <row r="246" spans="1:23" x14ac:dyDescent="0.3">
      <c r="A246">
        <v>3145319</v>
      </c>
      <c r="B246">
        <v>34.47</v>
      </c>
      <c r="C246" t="s">
        <v>552</v>
      </c>
      <c r="E246" t="s">
        <v>23</v>
      </c>
      <c r="F246" t="s">
        <v>28</v>
      </c>
      <c r="G246">
        <v>2017</v>
      </c>
      <c r="H246" t="s">
        <v>309</v>
      </c>
      <c r="K246" t="s">
        <v>25</v>
      </c>
      <c r="L246" t="s">
        <v>145</v>
      </c>
      <c r="M246" t="b">
        <v>1</v>
      </c>
      <c r="N246" t="s">
        <v>470</v>
      </c>
      <c r="Q246" t="b">
        <v>1</v>
      </c>
      <c r="S246" t="str">
        <f>"9780310752271"</f>
        <v>9780310752271</v>
      </c>
      <c r="T246" t="str">
        <f>"9780310752325"</f>
        <v>9780310752325</v>
      </c>
      <c r="U246" t="b">
        <v>0</v>
      </c>
      <c r="W246" t="b">
        <v>0</v>
      </c>
    </row>
    <row r="247" spans="1:23" x14ac:dyDescent="0.3">
      <c r="A247">
        <v>3145318</v>
      </c>
      <c r="B247">
        <v>34.47</v>
      </c>
      <c r="C247" t="s">
        <v>553</v>
      </c>
      <c r="E247" t="s">
        <v>23</v>
      </c>
      <c r="F247" t="s">
        <v>28</v>
      </c>
      <c r="G247">
        <v>2017</v>
      </c>
      <c r="H247" t="s">
        <v>41</v>
      </c>
      <c r="K247" t="s">
        <v>25</v>
      </c>
      <c r="L247" t="s">
        <v>26</v>
      </c>
      <c r="M247" t="b">
        <v>1</v>
      </c>
      <c r="N247" t="s">
        <v>554</v>
      </c>
      <c r="Q247" t="b">
        <v>1</v>
      </c>
      <c r="S247" t="str">
        <f>"9780310757405"</f>
        <v>9780310757405</v>
      </c>
      <c r="T247" t="str">
        <f>"9780310757139"</f>
        <v>9780310757139</v>
      </c>
      <c r="U247" t="b">
        <v>0</v>
      </c>
      <c r="W247" t="b">
        <v>0</v>
      </c>
    </row>
    <row r="248" spans="1:23" x14ac:dyDescent="0.3">
      <c r="A248">
        <v>3145317</v>
      </c>
      <c r="B248">
        <v>31.02</v>
      </c>
      <c r="C248" t="s">
        <v>555</v>
      </c>
      <c r="E248" t="s">
        <v>23</v>
      </c>
      <c r="F248" t="s">
        <v>28</v>
      </c>
      <c r="G248">
        <v>2016</v>
      </c>
      <c r="H248" t="s">
        <v>336</v>
      </c>
      <c r="K248" t="s">
        <v>25</v>
      </c>
      <c r="L248" t="s">
        <v>26</v>
      </c>
      <c r="M248" t="b">
        <v>1</v>
      </c>
      <c r="N248" t="s">
        <v>510</v>
      </c>
      <c r="Q248" t="b">
        <v>1</v>
      </c>
      <c r="S248" t="str">
        <f>"9780310758617"</f>
        <v>9780310758617</v>
      </c>
      <c r="T248" t="str">
        <f>"9780310758624"</f>
        <v>9780310758624</v>
      </c>
      <c r="U248" t="b">
        <v>0</v>
      </c>
      <c r="W248" t="b">
        <v>0</v>
      </c>
    </row>
    <row r="249" spans="1:23" x14ac:dyDescent="0.3">
      <c r="A249">
        <v>3145316</v>
      </c>
      <c r="B249">
        <v>34.47</v>
      </c>
      <c r="C249" t="s">
        <v>556</v>
      </c>
      <c r="E249" t="s">
        <v>23</v>
      </c>
      <c r="F249" t="s">
        <v>28</v>
      </c>
      <c r="G249">
        <v>2016</v>
      </c>
      <c r="H249" t="s">
        <v>222</v>
      </c>
      <c r="K249" t="s">
        <v>25</v>
      </c>
      <c r="L249" t="s">
        <v>26</v>
      </c>
      <c r="M249" t="b">
        <v>1</v>
      </c>
      <c r="N249" t="s">
        <v>44</v>
      </c>
      <c r="Q249" t="b">
        <v>0</v>
      </c>
      <c r="S249" t="str">
        <f>"9780310757801"</f>
        <v>9780310757801</v>
      </c>
      <c r="T249" t="str">
        <f>"9780310757818"</f>
        <v>9780310757818</v>
      </c>
      <c r="U249" t="b">
        <v>0</v>
      </c>
      <c r="W249" t="b">
        <v>0</v>
      </c>
    </row>
    <row r="250" spans="1:23" x14ac:dyDescent="0.3">
      <c r="A250">
        <v>3145315</v>
      </c>
      <c r="B250">
        <v>24.12</v>
      </c>
      <c r="C250" t="s">
        <v>557</v>
      </c>
      <c r="E250" t="s">
        <v>23</v>
      </c>
      <c r="F250" t="s">
        <v>28</v>
      </c>
      <c r="G250">
        <v>2016</v>
      </c>
      <c r="H250" t="s">
        <v>34</v>
      </c>
      <c r="K250" t="s">
        <v>25</v>
      </c>
      <c r="L250" t="s">
        <v>26</v>
      </c>
      <c r="M250" t="b">
        <v>1</v>
      </c>
      <c r="N250" t="s">
        <v>39</v>
      </c>
      <c r="P250" t="s">
        <v>36</v>
      </c>
      <c r="Q250" t="b">
        <v>1</v>
      </c>
      <c r="S250" t="str">
        <f>"9780310720829"</f>
        <v>9780310720829</v>
      </c>
      <c r="T250" t="str">
        <f>"9780310755777"</f>
        <v>9780310755777</v>
      </c>
      <c r="U250" t="b">
        <v>0</v>
      </c>
      <c r="W250" t="b">
        <v>0</v>
      </c>
    </row>
    <row r="251" spans="1:23" x14ac:dyDescent="0.3">
      <c r="A251">
        <v>3145314</v>
      </c>
      <c r="B251">
        <v>58.62</v>
      </c>
      <c r="C251" t="s">
        <v>558</v>
      </c>
      <c r="E251" t="s">
        <v>23</v>
      </c>
      <c r="F251" t="s">
        <v>28</v>
      </c>
      <c r="G251">
        <v>2016</v>
      </c>
      <c r="H251" t="s">
        <v>559</v>
      </c>
      <c r="K251" t="s">
        <v>25</v>
      </c>
      <c r="L251" t="s">
        <v>26</v>
      </c>
      <c r="M251" t="b">
        <v>1</v>
      </c>
      <c r="N251" t="s">
        <v>372</v>
      </c>
      <c r="Q251" t="b">
        <v>1</v>
      </c>
      <c r="S251" t="str">
        <f>"9780310754732"</f>
        <v>9780310754732</v>
      </c>
      <c r="T251" t="str">
        <f>"9780310754930"</f>
        <v>9780310754930</v>
      </c>
      <c r="U251" t="b">
        <v>0</v>
      </c>
      <c r="W251" t="b">
        <v>0</v>
      </c>
    </row>
    <row r="252" spans="1:23" x14ac:dyDescent="0.3">
      <c r="A252">
        <v>3145313</v>
      </c>
      <c r="B252">
        <v>51.72</v>
      </c>
      <c r="C252" t="s">
        <v>560</v>
      </c>
      <c r="D252" t="s">
        <v>561</v>
      </c>
      <c r="E252" t="s">
        <v>23</v>
      </c>
      <c r="F252" t="s">
        <v>28</v>
      </c>
      <c r="G252">
        <v>2016</v>
      </c>
      <c r="H252" t="s">
        <v>168</v>
      </c>
      <c r="K252" t="s">
        <v>25</v>
      </c>
      <c r="L252" t="s">
        <v>30</v>
      </c>
      <c r="M252" t="b">
        <v>1</v>
      </c>
      <c r="N252" t="s">
        <v>339</v>
      </c>
      <c r="P252" t="s">
        <v>36</v>
      </c>
      <c r="Q252" t="b">
        <v>0</v>
      </c>
      <c r="S252" t="str">
        <f>"9780310751656"</f>
        <v>9780310751656</v>
      </c>
      <c r="T252" t="str">
        <f>"9780310751946"</f>
        <v>9780310751946</v>
      </c>
      <c r="U252" t="b">
        <v>0</v>
      </c>
      <c r="W252" t="b">
        <v>0</v>
      </c>
    </row>
    <row r="253" spans="1:23" x14ac:dyDescent="0.3">
      <c r="A253">
        <v>3145312</v>
      </c>
      <c r="B253">
        <v>21.29</v>
      </c>
      <c r="C253" t="s">
        <v>562</v>
      </c>
      <c r="E253" t="s">
        <v>23</v>
      </c>
      <c r="F253" t="s">
        <v>28</v>
      </c>
      <c r="G253">
        <v>2016</v>
      </c>
      <c r="H253" t="s">
        <v>75</v>
      </c>
      <c r="K253" t="s">
        <v>25</v>
      </c>
      <c r="L253" t="s">
        <v>26</v>
      </c>
      <c r="M253" t="b">
        <v>1</v>
      </c>
      <c r="N253" t="s">
        <v>44</v>
      </c>
      <c r="Q253" t="b">
        <v>0</v>
      </c>
      <c r="T253" t="str">
        <f>"9780310757191"</f>
        <v>9780310757191</v>
      </c>
      <c r="U253" t="b">
        <v>0</v>
      </c>
      <c r="W253" t="b">
        <v>0</v>
      </c>
    </row>
    <row r="254" spans="1:23" x14ac:dyDescent="0.3">
      <c r="A254">
        <v>3145311</v>
      </c>
      <c r="B254">
        <v>17.22</v>
      </c>
      <c r="C254" t="s">
        <v>563</v>
      </c>
      <c r="E254" t="s">
        <v>23</v>
      </c>
      <c r="F254" t="s">
        <v>28</v>
      </c>
      <c r="G254">
        <v>2016</v>
      </c>
      <c r="H254" t="s">
        <v>34</v>
      </c>
      <c r="K254" t="s">
        <v>25</v>
      </c>
      <c r="L254" t="s">
        <v>26</v>
      </c>
      <c r="M254" t="b">
        <v>1</v>
      </c>
      <c r="N254" t="s">
        <v>339</v>
      </c>
      <c r="P254" t="s">
        <v>36</v>
      </c>
      <c r="Q254" t="b">
        <v>1</v>
      </c>
      <c r="S254" t="str">
        <f>"9780310749240"</f>
        <v>9780310749240</v>
      </c>
      <c r="T254" t="str">
        <f>"9780310749202"</f>
        <v>9780310749202</v>
      </c>
      <c r="U254" t="b">
        <v>0</v>
      </c>
      <c r="W254" t="b">
        <v>0</v>
      </c>
    </row>
    <row r="255" spans="1:23" x14ac:dyDescent="0.3">
      <c r="A255">
        <v>3145310</v>
      </c>
      <c r="B255">
        <v>51.72</v>
      </c>
      <c r="C255" t="s">
        <v>564</v>
      </c>
      <c r="E255" t="s">
        <v>23</v>
      </c>
      <c r="F255" t="s">
        <v>28</v>
      </c>
      <c r="G255">
        <v>2016</v>
      </c>
      <c r="H255" t="s">
        <v>192</v>
      </c>
      <c r="K255" t="s">
        <v>25</v>
      </c>
      <c r="L255" t="s">
        <v>26</v>
      </c>
      <c r="M255" t="b">
        <v>1</v>
      </c>
      <c r="N255" t="s">
        <v>540</v>
      </c>
      <c r="P255" t="s">
        <v>541</v>
      </c>
      <c r="Q255" t="b">
        <v>1</v>
      </c>
      <c r="S255" t="str">
        <f>"9780310748021"</f>
        <v>9780310748021</v>
      </c>
      <c r="T255" t="str">
        <f>"9780310748687"</f>
        <v>9780310748687</v>
      </c>
      <c r="U255" t="b">
        <v>0</v>
      </c>
      <c r="W255" t="b">
        <v>0</v>
      </c>
    </row>
    <row r="256" spans="1:23" x14ac:dyDescent="0.3">
      <c r="A256">
        <v>3145309</v>
      </c>
      <c r="B256">
        <v>31.02</v>
      </c>
      <c r="C256" t="s">
        <v>565</v>
      </c>
      <c r="E256" t="s">
        <v>23</v>
      </c>
      <c r="F256" t="s">
        <v>28</v>
      </c>
      <c r="G256">
        <v>2016</v>
      </c>
      <c r="H256" t="s">
        <v>252</v>
      </c>
      <c r="K256" t="s">
        <v>25</v>
      </c>
      <c r="L256" t="s">
        <v>26</v>
      </c>
      <c r="M256" t="b">
        <v>1</v>
      </c>
      <c r="N256" t="s">
        <v>44</v>
      </c>
      <c r="P256" t="s">
        <v>462</v>
      </c>
      <c r="Q256" t="b">
        <v>0</v>
      </c>
      <c r="S256" t="str">
        <f>"9780310757665"</f>
        <v>9780310757665</v>
      </c>
      <c r="T256" t="str">
        <f>"9780310757849"</f>
        <v>9780310757849</v>
      </c>
      <c r="U256" t="b">
        <v>0</v>
      </c>
      <c r="W256" t="b">
        <v>0</v>
      </c>
    </row>
    <row r="257" spans="1:23" x14ac:dyDescent="0.3">
      <c r="A257">
        <v>3145308</v>
      </c>
      <c r="B257">
        <v>62.07</v>
      </c>
      <c r="C257" t="s">
        <v>566</v>
      </c>
      <c r="D257" t="s">
        <v>209</v>
      </c>
      <c r="E257" t="s">
        <v>23</v>
      </c>
      <c r="F257" t="s">
        <v>28</v>
      </c>
      <c r="G257">
        <v>2016</v>
      </c>
      <c r="H257" t="s">
        <v>466</v>
      </c>
      <c r="K257" t="s">
        <v>25</v>
      </c>
      <c r="L257" t="s">
        <v>26</v>
      </c>
      <c r="M257" t="b">
        <v>1</v>
      </c>
      <c r="N257" t="s">
        <v>210</v>
      </c>
      <c r="P257" t="s">
        <v>208</v>
      </c>
      <c r="Q257" t="b">
        <v>0</v>
      </c>
      <c r="S257" t="str">
        <f>"9780310748243"</f>
        <v>9780310748243</v>
      </c>
      <c r="T257" t="str">
        <f>"9780310748977"</f>
        <v>9780310748977</v>
      </c>
      <c r="U257" t="b">
        <v>0</v>
      </c>
      <c r="W257" t="b">
        <v>0</v>
      </c>
    </row>
    <row r="258" spans="1:23" x14ac:dyDescent="0.3">
      <c r="A258">
        <v>3145307</v>
      </c>
      <c r="B258">
        <v>62.07</v>
      </c>
      <c r="C258" t="s">
        <v>567</v>
      </c>
      <c r="E258" t="s">
        <v>23</v>
      </c>
      <c r="F258" t="s">
        <v>28</v>
      </c>
      <c r="G258">
        <v>2016</v>
      </c>
      <c r="H258" t="s">
        <v>341</v>
      </c>
      <c r="K258" t="s">
        <v>25</v>
      </c>
      <c r="L258" t="s">
        <v>26</v>
      </c>
      <c r="M258" t="b">
        <v>1</v>
      </c>
      <c r="N258" t="s">
        <v>568</v>
      </c>
      <c r="Q258" t="b">
        <v>0</v>
      </c>
      <c r="S258" t="str">
        <f>"9780310743545"</f>
        <v>9780310743545</v>
      </c>
      <c r="T258" t="str">
        <f>"9780310744290"</f>
        <v>9780310744290</v>
      </c>
      <c r="U258" t="b">
        <v>0</v>
      </c>
      <c r="W258" t="b">
        <v>0</v>
      </c>
    </row>
    <row r="259" spans="1:23" x14ac:dyDescent="0.3">
      <c r="A259">
        <v>3145306</v>
      </c>
      <c r="B259">
        <v>34.47</v>
      </c>
      <c r="C259" t="s">
        <v>569</v>
      </c>
      <c r="D259" t="s">
        <v>93</v>
      </c>
      <c r="E259" t="s">
        <v>23</v>
      </c>
      <c r="F259" t="s">
        <v>28</v>
      </c>
      <c r="G259">
        <v>2016</v>
      </c>
      <c r="H259" t="s">
        <v>34</v>
      </c>
      <c r="K259" t="s">
        <v>25</v>
      </c>
      <c r="L259" t="s">
        <v>26</v>
      </c>
      <c r="M259" t="b">
        <v>1</v>
      </c>
      <c r="N259" t="s">
        <v>540</v>
      </c>
      <c r="P259" t="s">
        <v>570</v>
      </c>
      <c r="Q259" t="b">
        <v>1</v>
      </c>
      <c r="S259" t="str">
        <f>"9780310732518"</f>
        <v>9780310732518</v>
      </c>
      <c r="T259" t="str">
        <f>"9780310755548"</f>
        <v>9780310755548</v>
      </c>
      <c r="U259" t="b">
        <v>0</v>
      </c>
      <c r="W259" t="b">
        <v>0</v>
      </c>
    </row>
    <row r="260" spans="1:23" x14ac:dyDescent="0.3">
      <c r="A260">
        <v>3145305</v>
      </c>
      <c r="B260">
        <v>44.82</v>
      </c>
      <c r="C260" t="s">
        <v>571</v>
      </c>
      <c r="D260" t="s">
        <v>572</v>
      </c>
      <c r="E260" t="s">
        <v>23</v>
      </c>
      <c r="F260" t="s">
        <v>28</v>
      </c>
      <c r="G260">
        <v>2016</v>
      </c>
      <c r="H260" t="s">
        <v>573</v>
      </c>
      <c r="K260" t="s">
        <v>25</v>
      </c>
      <c r="L260" t="s">
        <v>26</v>
      </c>
      <c r="M260" t="b">
        <v>1</v>
      </c>
      <c r="N260" t="s">
        <v>44</v>
      </c>
      <c r="P260" t="s">
        <v>36</v>
      </c>
      <c r="Q260" t="b">
        <v>0</v>
      </c>
      <c r="S260" t="str">
        <f>"9780310753995"</f>
        <v>9780310753995</v>
      </c>
      <c r="T260" t="str">
        <f>"9780310753889"</f>
        <v>9780310753889</v>
      </c>
      <c r="U260" t="b">
        <v>0</v>
      </c>
      <c r="W260" t="b">
        <v>0</v>
      </c>
    </row>
    <row r="261" spans="1:23" x14ac:dyDescent="0.3">
      <c r="A261">
        <v>3145304</v>
      </c>
      <c r="B261">
        <v>58.62</v>
      </c>
      <c r="C261" t="s">
        <v>574</v>
      </c>
      <c r="D261" t="s">
        <v>575</v>
      </c>
      <c r="E261" t="s">
        <v>23</v>
      </c>
      <c r="F261" t="s">
        <v>28</v>
      </c>
      <c r="G261">
        <v>2016</v>
      </c>
      <c r="H261" t="s">
        <v>357</v>
      </c>
      <c r="K261" t="s">
        <v>25</v>
      </c>
      <c r="L261" t="s">
        <v>26</v>
      </c>
      <c r="M261" t="b">
        <v>1</v>
      </c>
      <c r="N261" t="s">
        <v>527</v>
      </c>
      <c r="Q261" t="b">
        <v>1</v>
      </c>
      <c r="S261" t="str">
        <f>"9780310758228"</f>
        <v>9780310758228</v>
      </c>
      <c r="T261" t="str">
        <f>"9780310758334"</f>
        <v>9780310758334</v>
      </c>
      <c r="U261" t="b">
        <v>0</v>
      </c>
      <c r="W261" t="b">
        <v>0</v>
      </c>
    </row>
    <row r="262" spans="1:23" x14ac:dyDescent="0.3">
      <c r="A262">
        <v>3145303</v>
      </c>
      <c r="B262">
        <v>14.18</v>
      </c>
      <c r="C262" t="s">
        <v>576</v>
      </c>
      <c r="E262" t="s">
        <v>23</v>
      </c>
      <c r="F262" t="s">
        <v>28</v>
      </c>
      <c r="G262">
        <v>2016</v>
      </c>
      <c r="H262" t="s">
        <v>141</v>
      </c>
      <c r="K262" t="s">
        <v>25</v>
      </c>
      <c r="L262" t="s">
        <v>145</v>
      </c>
      <c r="M262" t="b">
        <v>1</v>
      </c>
      <c r="N262" t="s">
        <v>577</v>
      </c>
      <c r="Q262" t="b">
        <v>0</v>
      </c>
      <c r="T262" t="str">
        <f>"9780310744542"</f>
        <v>9780310744542</v>
      </c>
      <c r="U262" t="b">
        <v>0</v>
      </c>
      <c r="W262" t="b">
        <v>0</v>
      </c>
    </row>
    <row r="263" spans="1:23" x14ac:dyDescent="0.3">
      <c r="A263">
        <v>3145302</v>
      </c>
      <c r="B263">
        <v>14.18</v>
      </c>
      <c r="C263" t="s">
        <v>578</v>
      </c>
      <c r="E263" t="s">
        <v>23</v>
      </c>
      <c r="F263" t="s">
        <v>28</v>
      </c>
      <c r="G263">
        <v>2016</v>
      </c>
      <c r="H263" t="s">
        <v>141</v>
      </c>
      <c r="K263" t="s">
        <v>25</v>
      </c>
      <c r="L263" t="s">
        <v>145</v>
      </c>
      <c r="M263" t="b">
        <v>1</v>
      </c>
      <c r="N263" t="s">
        <v>577</v>
      </c>
      <c r="Q263" t="b">
        <v>0</v>
      </c>
      <c r="T263" t="str">
        <f>"9780310744320"</f>
        <v>9780310744320</v>
      </c>
      <c r="U263" t="b">
        <v>0</v>
      </c>
      <c r="W263" t="b">
        <v>0</v>
      </c>
    </row>
    <row r="264" spans="1:23" x14ac:dyDescent="0.3">
      <c r="A264">
        <v>3145301</v>
      </c>
      <c r="B264">
        <v>14.18</v>
      </c>
      <c r="C264" t="s">
        <v>579</v>
      </c>
      <c r="E264" t="s">
        <v>23</v>
      </c>
      <c r="F264" t="s">
        <v>28</v>
      </c>
      <c r="G264">
        <v>2016</v>
      </c>
      <c r="H264" t="s">
        <v>141</v>
      </c>
      <c r="K264" t="s">
        <v>25</v>
      </c>
      <c r="L264" t="s">
        <v>145</v>
      </c>
      <c r="M264" t="b">
        <v>1</v>
      </c>
      <c r="N264" t="s">
        <v>577</v>
      </c>
      <c r="Q264" t="b">
        <v>0</v>
      </c>
      <c r="T264" t="str">
        <f>"9780310743941"</f>
        <v>9780310743941</v>
      </c>
      <c r="U264" t="b">
        <v>0</v>
      </c>
      <c r="W264" t="b">
        <v>0</v>
      </c>
    </row>
    <row r="265" spans="1:23" x14ac:dyDescent="0.3">
      <c r="A265">
        <v>3145300</v>
      </c>
      <c r="B265">
        <v>10.63</v>
      </c>
      <c r="C265" t="s">
        <v>569</v>
      </c>
      <c r="D265" t="s">
        <v>93</v>
      </c>
      <c r="E265" t="s">
        <v>23</v>
      </c>
      <c r="F265" t="s">
        <v>28</v>
      </c>
      <c r="G265">
        <v>2016</v>
      </c>
      <c r="H265" t="s">
        <v>34</v>
      </c>
      <c r="K265" t="s">
        <v>25</v>
      </c>
      <c r="L265" t="s">
        <v>26</v>
      </c>
      <c r="M265" t="b">
        <v>1</v>
      </c>
      <c r="N265" t="s">
        <v>540</v>
      </c>
      <c r="P265" t="s">
        <v>570</v>
      </c>
      <c r="Q265" t="b">
        <v>1</v>
      </c>
      <c r="T265" t="str">
        <f>"9780310757030"</f>
        <v>9780310757030</v>
      </c>
      <c r="U265" t="b">
        <v>0</v>
      </c>
      <c r="W265" t="b">
        <v>0</v>
      </c>
    </row>
    <row r="266" spans="1:23" x14ac:dyDescent="0.3">
      <c r="A266">
        <v>3145299</v>
      </c>
      <c r="B266">
        <v>51.72</v>
      </c>
      <c r="C266" t="s">
        <v>569</v>
      </c>
      <c r="D266" t="s">
        <v>93</v>
      </c>
      <c r="E266" t="s">
        <v>23</v>
      </c>
      <c r="F266" t="s">
        <v>28</v>
      </c>
      <c r="G266">
        <v>2016</v>
      </c>
      <c r="H266" t="s">
        <v>41</v>
      </c>
      <c r="K266" t="s">
        <v>25</v>
      </c>
      <c r="L266" t="s">
        <v>26</v>
      </c>
      <c r="M266" t="b">
        <v>1</v>
      </c>
      <c r="N266" t="s">
        <v>540</v>
      </c>
      <c r="P266" t="s">
        <v>541</v>
      </c>
      <c r="Q266" t="b">
        <v>1</v>
      </c>
      <c r="S266" t="str">
        <f>"9780310726999"</f>
        <v>9780310726999</v>
      </c>
      <c r="T266" t="str">
        <f>"9780310756842"</f>
        <v>9780310756842</v>
      </c>
      <c r="U266" t="b">
        <v>0</v>
      </c>
      <c r="W266" t="b">
        <v>0</v>
      </c>
    </row>
    <row r="267" spans="1:23" x14ac:dyDescent="0.3">
      <c r="A267">
        <v>3145298</v>
      </c>
      <c r="B267">
        <v>27.57</v>
      </c>
      <c r="C267" t="s">
        <v>580</v>
      </c>
      <c r="D267" t="s">
        <v>397</v>
      </c>
      <c r="E267" t="s">
        <v>23</v>
      </c>
      <c r="F267" t="s">
        <v>28</v>
      </c>
      <c r="G267">
        <v>2016</v>
      </c>
      <c r="H267" t="s">
        <v>34</v>
      </c>
      <c r="K267" t="s">
        <v>25</v>
      </c>
      <c r="L267" t="s">
        <v>26</v>
      </c>
      <c r="M267" t="b">
        <v>1</v>
      </c>
      <c r="N267" t="s">
        <v>35</v>
      </c>
      <c r="P267" t="s">
        <v>36</v>
      </c>
      <c r="Q267" t="b">
        <v>1</v>
      </c>
      <c r="S267" t="str">
        <f>"9780310735045"</f>
        <v>9780310735045</v>
      </c>
      <c r="T267" t="str">
        <f>"9780310756408"</f>
        <v>9780310756408</v>
      </c>
      <c r="U267" t="b">
        <v>0</v>
      </c>
      <c r="W267" t="b">
        <v>0</v>
      </c>
    </row>
    <row r="268" spans="1:23" x14ac:dyDescent="0.3">
      <c r="A268">
        <v>3145297</v>
      </c>
      <c r="B268">
        <v>17.22</v>
      </c>
      <c r="C268" t="s">
        <v>581</v>
      </c>
      <c r="D268" t="s">
        <v>93</v>
      </c>
      <c r="E268" t="s">
        <v>23</v>
      </c>
      <c r="F268" t="s">
        <v>28</v>
      </c>
      <c r="G268">
        <v>2016</v>
      </c>
      <c r="H268" t="s">
        <v>34</v>
      </c>
      <c r="K268" t="s">
        <v>25</v>
      </c>
      <c r="L268" t="s">
        <v>26</v>
      </c>
      <c r="M268" t="b">
        <v>1</v>
      </c>
      <c r="N268" t="s">
        <v>540</v>
      </c>
      <c r="P268" t="s">
        <v>570</v>
      </c>
      <c r="Q268" t="b">
        <v>1</v>
      </c>
      <c r="S268" t="str">
        <f>"9780310732488"</f>
        <v>9780310732488</v>
      </c>
      <c r="T268" t="str">
        <f>"9780310757061"</f>
        <v>9780310757061</v>
      </c>
      <c r="U268" t="b">
        <v>0</v>
      </c>
      <c r="W268" t="b">
        <v>0</v>
      </c>
    </row>
    <row r="269" spans="1:23" x14ac:dyDescent="0.3">
      <c r="A269">
        <v>3145296</v>
      </c>
      <c r="B269">
        <v>51.72</v>
      </c>
      <c r="C269" t="s">
        <v>582</v>
      </c>
      <c r="E269" t="s">
        <v>23</v>
      </c>
      <c r="F269" t="s">
        <v>28</v>
      </c>
      <c r="G269">
        <v>2016</v>
      </c>
      <c r="H269" t="s">
        <v>41</v>
      </c>
      <c r="K269" t="s">
        <v>25</v>
      </c>
      <c r="L269" t="s">
        <v>26</v>
      </c>
      <c r="M269" t="b">
        <v>1</v>
      </c>
      <c r="N269" t="s">
        <v>540</v>
      </c>
      <c r="P269" t="s">
        <v>541</v>
      </c>
      <c r="Q269" t="b">
        <v>1</v>
      </c>
      <c r="S269" t="str">
        <f>"9780310727019"</f>
        <v>9780310727019</v>
      </c>
      <c r="T269" t="str">
        <f>"9780310756774"</f>
        <v>9780310756774</v>
      </c>
      <c r="U269" t="b">
        <v>0</v>
      </c>
      <c r="W269" t="b">
        <v>0</v>
      </c>
    </row>
    <row r="270" spans="1:23" x14ac:dyDescent="0.3">
      <c r="A270">
        <v>3145295</v>
      </c>
      <c r="B270">
        <v>51.72</v>
      </c>
      <c r="C270" t="s">
        <v>583</v>
      </c>
      <c r="E270" t="s">
        <v>23</v>
      </c>
      <c r="F270" t="s">
        <v>28</v>
      </c>
      <c r="G270">
        <v>2016</v>
      </c>
      <c r="H270" t="s">
        <v>41</v>
      </c>
      <c r="K270" t="s">
        <v>25</v>
      </c>
      <c r="L270" t="s">
        <v>26</v>
      </c>
      <c r="M270" t="b">
        <v>1</v>
      </c>
      <c r="N270" t="s">
        <v>540</v>
      </c>
      <c r="P270" t="s">
        <v>541</v>
      </c>
      <c r="Q270" t="b">
        <v>1</v>
      </c>
      <c r="S270" t="str">
        <f>"9780310727033"</f>
        <v>9780310727033</v>
      </c>
      <c r="T270" t="str">
        <f>"9780310756514"</f>
        <v>9780310756514</v>
      </c>
      <c r="U270" t="b">
        <v>0</v>
      </c>
      <c r="W270" t="b">
        <v>0</v>
      </c>
    </row>
    <row r="271" spans="1:23" x14ac:dyDescent="0.3">
      <c r="A271">
        <v>3145294</v>
      </c>
      <c r="B271">
        <v>27.57</v>
      </c>
      <c r="C271" t="s">
        <v>584</v>
      </c>
      <c r="E271" t="s">
        <v>23</v>
      </c>
      <c r="F271" t="s">
        <v>28</v>
      </c>
      <c r="G271">
        <v>2016</v>
      </c>
      <c r="H271" t="s">
        <v>34</v>
      </c>
      <c r="K271" t="s">
        <v>25</v>
      </c>
      <c r="L271" t="s">
        <v>26</v>
      </c>
      <c r="M271" t="b">
        <v>1</v>
      </c>
      <c r="N271" t="s">
        <v>35</v>
      </c>
      <c r="P271" t="s">
        <v>36</v>
      </c>
      <c r="Q271" t="b">
        <v>1</v>
      </c>
      <c r="S271" t="str">
        <f>"9780310734925"</f>
        <v>9780310734925</v>
      </c>
      <c r="T271" t="str">
        <f>"9780310756415"</f>
        <v>9780310756415</v>
      </c>
      <c r="U271" t="b">
        <v>0</v>
      </c>
      <c r="W271" t="b">
        <v>0</v>
      </c>
    </row>
    <row r="272" spans="1:23" x14ac:dyDescent="0.3">
      <c r="A272">
        <v>3145293</v>
      </c>
      <c r="B272">
        <v>34.47</v>
      </c>
      <c r="C272" t="s">
        <v>585</v>
      </c>
      <c r="E272" t="s">
        <v>23</v>
      </c>
      <c r="F272" t="s">
        <v>28</v>
      </c>
      <c r="G272">
        <v>2016</v>
      </c>
      <c r="H272" t="s">
        <v>91</v>
      </c>
      <c r="K272" t="s">
        <v>25</v>
      </c>
      <c r="L272" t="s">
        <v>26</v>
      </c>
      <c r="M272" t="b">
        <v>1</v>
      </c>
      <c r="N272" t="s">
        <v>210</v>
      </c>
      <c r="P272" t="s">
        <v>333</v>
      </c>
      <c r="Q272" t="b">
        <v>0</v>
      </c>
      <c r="S272" t="str">
        <f>"9780310749257"</f>
        <v>9780310749257</v>
      </c>
      <c r="T272" t="str">
        <f>"9780310749356"</f>
        <v>9780310749356</v>
      </c>
      <c r="U272" t="b">
        <v>0</v>
      </c>
      <c r="W272" t="b">
        <v>0</v>
      </c>
    </row>
    <row r="273" spans="1:23" x14ac:dyDescent="0.3">
      <c r="A273">
        <v>3145292</v>
      </c>
      <c r="B273">
        <v>31.02</v>
      </c>
      <c r="C273" t="s">
        <v>586</v>
      </c>
      <c r="E273" t="s">
        <v>23</v>
      </c>
      <c r="F273" t="s">
        <v>28</v>
      </c>
      <c r="G273">
        <v>2016</v>
      </c>
      <c r="H273" t="s">
        <v>451</v>
      </c>
      <c r="K273" t="s">
        <v>25</v>
      </c>
      <c r="L273" t="s">
        <v>26</v>
      </c>
      <c r="M273" t="b">
        <v>1</v>
      </c>
      <c r="N273" t="s">
        <v>510</v>
      </c>
      <c r="Q273" t="b">
        <v>1</v>
      </c>
      <c r="S273" t="str">
        <f>"9780310758198"</f>
        <v>9780310758198</v>
      </c>
      <c r="T273" t="str">
        <f>"9780310758181"</f>
        <v>9780310758181</v>
      </c>
      <c r="U273" t="b">
        <v>0</v>
      </c>
      <c r="W273" t="b">
        <v>0</v>
      </c>
    </row>
    <row r="274" spans="1:23" x14ac:dyDescent="0.3">
      <c r="A274">
        <v>3145291</v>
      </c>
      <c r="B274">
        <v>37.92</v>
      </c>
      <c r="C274" t="s">
        <v>587</v>
      </c>
      <c r="E274" t="s">
        <v>23</v>
      </c>
      <c r="F274" t="s">
        <v>28</v>
      </c>
      <c r="G274">
        <v>2016</v>
      </c>
      <c r="H274" t="s">
        <v>34</v>
      </c>
      <c r="K274" t="s">
        <v>25</v>
      </c>
      <c r="L274" t="s">
        <v>26</v>
      </c>
      <c r="M274" t="b">
        <v>1</v>
      </c>
      <c r="N274" t="s">
        <v>39</v>
      </c>
      <c r="P274" t="s">
        <v>36</v>
      </c>
      <c r="Q274" t="b">
        <v>1</v>
      </c>
      <c r="S274" t="str">
        <f>"9780310753582"</f>
        <v>9780310753582</v>
      </c>
      <c r="T274" t="str">
        <f>"9780310753674"</f>
        <v>9780310753674</v>
      </c>
      <c r="U274" t="b">
        <v>0</v>
      </c>
      <c r="W274" t="b">
        <v>0</v>
      </c>
    </row>
    <row r="275" spans="1:23" x14ac:dyDescent="0.3">
      <c r="A275">
        <v>3145290</v>
      </c>
      <c r="B275">
        <v>21.29</v>
      </c>
      <c r="C275" t="s">
        <v>588</v>
      </c>
      <c r="E275" t="s">
        <v>23</v>
      </c>
      <c r="F275" t="s">
        <v>28</v>
      </c>
      <c r="G275">
        <v>2016</v>
      </c>
      <c r="H275" t="s">
        <v>34</v>
      </c>
      <c r="K275" t="s">
        <v>25</v>
      </c>
      <c r="L275" t="s">
        <v>26</v>
      </c>
      <c r="M275" t="b">
        <v>1</v>
      </c>
      <c r="N275" t="s">
        <v>39</v>
      </c>
      <c r="P275" t="s">
        <v>36</v>
      </c>
      <c r="Q275" t="b">
        <v>1</v>
      </c>
      <c r="T275" t="str">
        <f>"9780310756033"</f>
        <v>9780310756033</v>
      </c>
      <c r="U275" t="b">
        <v>0</v>
      </c>
      <c r="W275" t="b">
        <v>0</v>
      </c>
    </row>
    <row r="276" spans="1:23" x14ac:dyDescent="0.3">
      <c r="A276">
        <v>3145289</v>
      </c>
      <c r="B276">
        <v>13.77</v>
      </c>
      <c r="C276" t="s">
        <v>589</v>
      </c>
      <c r="E276" t="s">
        <v>23</v>
      </c>
      <c r="F276" t="s">
        <v>28</v>
      </c>
      <c r="G276">
        <v>2016</v>
      </c>
      <c r="H276" t="s">
        <v>34</v>
      </c>
      <c r="K276" t="s">
        <v>25</v>
      </c>
      <c r="L276" t="s">
        <v>145</v>
      </c>
      <c r="M276" t="b">
        <v>1</v>
      </c>
      <c r="N276" t="s">
        <v>339</v>
      </c>
      <c r="P276" t="s">
        <v>36</v>
      </c>
      <c r="Q276" t="b">
        <v>1</v>
      </c>
      <c r="S276" t="str">
        <f>"9780310748427"</f>
        <v>9780310748427</v>
      </c>
      <c r="T276" t="str">
        <f>"9780310748953"</f>
        <v>9780310748953</v>
      </c>
      <c r="U276" t="b">
        <v>0</v>
      </c>
      <c r="W276" t="b">
        <v>0</v>
      </c>
    </row>
    <row r="277" spans="1:23" x14ac:dyDescent="0.3">
      <c r="A277">
        <v>3145288</v>
      </c>
      <c r="B277">
        <v>28.39</v>
      </c>
      <c r="C277" t="s">
        <v>590</v>
      </c>
      <c r="E277" t="s">
        <v>23</v>
      </c>
      <c r="F277" t="s">
        <v>28</v>
      </c>
      <c r="G277">
        <v>2016</v>
      </c>
      <c r="H277" t="s">
        <v>591</v>
      </c>
      <c r="K277" t="s">
        <v>25</v>
      </c>
      <c r="L277" t="s">
        <v>26</v>
      </c>
      <c r="M277" t="b">
        <v>1</v>
      </c>
      <c r="N277" t="s">
        <v>44</v>
      </c>
      <c r="P277" t="s">
        <v>269</v>
      </c>
      <c r="Q277" t="b">
        <v>1</v>
      </c>
      <c r="T277" t="str">
        <f>"9780310753421"</f>
        <v>9780310753421</v>
      </c>
      <c r="U277" t="b">
        <v>0</v>
      </c>
      <c r="W277" t="b">
        <v>0</v>
      </c>
    </row>
    <row r="278" spans="1:23" x14ac:dyDescent="0.3">
      <c r="A278">
        <v>3145287</v>
      </c>
      <c r="B278">
        <v>28.39</v>
      </c>
      <c r="C278" t="s">
        <v>592</v>
      </c>
      <c r="E278" t="s">
        <v>23</v>
      </c>
      <c r="F278" t="s">
        <v>28</v>
      </c>
      <c r="G278">
        <v>2016</v>
      </c>
      <c r="H278" t="s">
        <v>591</v>
      </c>
      <c r="K278" t="s">
        <v>25</v>
      </c>
      <c r="L278" t="s">
        <v>26</v>
      </c>
      <c r="M278" t="b">
        <v>1</v>
      </c>
      <c r="N278" t="s">
        <v>44</v>
      </c>
      <c r="P278" t="s">
        <v>269</v>
      </c>
      <c r="Q278" t="b">
        <v>1</v>
      </c>
      <c r="T278" t="str">
        <f>"9780310753377"</f>
        <v>9780310753377</v>
      </c>
      <c r="U278" t="b">
        <v>0</v>
      </c>
      <c r="W278" t="b">
        <v>0</v>
      </c>
    </row>
    <row r="279" spans="1:23" x14ac:dyDescent="0.3">
      <c r="A279">
        <v>3145286</v>
      </c>
      <c r="B279">
        <v>34.47</v>
      </c>
      <c r="C279" t="s">
        <v>593</v>
      </c>
      <c r="E279" t="s">
        <v>23</v>
      </c>
      <c r="F279" t="s">
        <v>28</v>
      </c>
      <c r="G279">
        <v>2016</v>
      </c>
      <c r="H279" t="s">
        <v>41</v>
      </c>
      <c r="K279" t="s">
        <v>25</v>
      </c>
      <c r="L279" t="s">
        <v>145</v>
      </c>
      <c r="M279" t="b">
        <v>1</v>
      </c>
      <c r="N279" t="s">
        <v>291</v>
      </c>
      <c r="Q279" t="b">
        <v>1</v>
      </c>
      <c r="S279" t="str">
        <f>"9780310748816"</f>
        <v>9780310748816</v>
      </c>
      <c r="T279" t="str">
        <f>"9780310755159"</f>
        <v>9780310755159</v>
      </c>
      <c r="U279" t="b">
        <v>0</v>
      </c>
      <c r="W279" t="b">
        <v>0</v>
      </c>
    </row>
    <row r="280" spans="1:23" x14ac:dyDescent="0.3">
      <c r="A280">
        <v>3145285</v>
      </c>
      <c r="B280">
        <v>68.97</v>
      </c>
      <c r="C280" t="s">
        <v>594</v>
      </c>
      <c r="D280" t="s">
        <v>595</v>
      </c>
      <c r="E280" t="s">
        <v>23</v>
      </c>
      <c r="F280" t="s">
        <v>28</v>
      </c>
      <c r="G280">
        <v>2015</v>
      </c>
      <c r="H280" t="s">
        <v>141</v>
      </c>
      <c r="K280" t="s">
        <v>25</v>
      </c>
      <c r="L280" t="s">
        <v>145</v>
      </c>
      <c r="M280" t="b">
        <v>1</v>
      </c>
      <c r="N280" t="s">
        <v>596</v>
      </c>
      <c r="Q280" t="b">
        <v>0</v>
      </c>
      <c r="S280" t="str">
        <f>"9780310745907"</f>
        <v>9780310745907</v>
      </c>
      <c r="T280" t="str">
        <f>"9780310745846"</f>
        <v>9780310745846</v>
      </c>
      <c r="U280" t="b">
        <v>0</v>
      </c>
      <c r="W280" t="b">
        <v>0</v>
      </c>
    </row>
    <row r="281" spans="1:23" x14ac:dyDescent="0.3">
      <c r="A281">
        <v>3145284</v>
      </c>
      <c r="B281">
        <v>58.62</v>
      </c>
      <c r="C281" t="s">
        <v>597</v>
      </c>
      <c r="E281" t="s">
        <v>23</v>
      </c>
      <c r="F281" t="s">
        <v>28</v>
      </c>
      <c r="G281">
        <v>2016</v>
      </c>
      <c r="H281" t="s">
        <v>598</v>
      </c>
      <c r="K281" t="s">
        <v>25</v>
      </c>
      <c r="L281" t="s">
        <v>145</v>
      </c>
      <c r="M281" t="b">
        <v>1</v>
      </c>
      <c r="N281" t="s">
        <v>317</v>
      </c>
      <c r="Q281" t="b">
        <v>1</v>
      </c>
      <c r="S281" t="str">
        <f>"9780310733898"</f>
        <v>9780310733898</v>
      </c>
      <c r="T281" t="str">
        <f>"9780310733911"</f>
        <v>9780310733911</v>
      </c>
      <c r="U281" t="b">
        <v>0</v>
      </c>
      <c r="W281" t="b">
        <v>0</v>
      </c>
    </row>
    <row r="282" spans="1:23" x14ac:dyDescent="0.3">
      <c r="A282">
        <v>3145282</v>
      </c>
      <c r="B282">
        <v>51.72</v>
      </c>
      <c r="C282" t="s">
        <v>599</v>
      </c>
      <c r="E282" t="s">
        <v>23</v>
      </c>
      <c r="F282" t="s">
        <v>28</v>
      </c>
      <c r="G282">
        <v>2016</v>
      </c>
      <c r="H282" t="s">
        <v>326</v>
      </c>
      <c r="K282" t="s">
        <v>25</v>
      </c>
      <c r="L282" t="s">
        <v>26</v>
      </c>
      <c r="M282" t="b">
        <v>1</v>
      </c>
      <c r="N282" t="s">
        <v>540</v>
      </c>
      <c r="P282" t="s">
        <v>541</v>
      </c>
      <c r="Q282" t="b">
        <v>1</v>
      </c>
      <c r="S282" t="str">
        <f>"9780310748700"</f>
        <v>9780310748700</v>
      </c>
      <c r="T282" t="str">
        <f>"9780310748083"</f>
        <v>9780310748083</v>
      </c>
      <c r="U282" t="b">
        <v>0</v>
      </c>
      <c r="W282" t="b">
        <v>0</v>
      </c>
    </row>
    <row r="283" spans="1:23" x14ac:dyDescent="0.3">
      <c r="A283">
        <v>3145281</v>
      </c>
      <c r="B283">
        <v>34.47</v>
      </c>
      <c r="C283" t="s">
        <v>600</v>
      </c>
      <c r="E283" t="s">
        <v>23</v>
      </c>
      <c r="F283" t="s">
        <v>28</v>
      </c>
      <c r="G283">
        <v>2016</v>
      </c>
      <c r="H283" t="s">
        <v>75</v>
      </c>
      <c r="K283" t="s">
        <v>25</v>
      </c>
      <c r="L283" t="s">
        <v>26</v>
      </c>
      <c r="M283" t="b">
        <v>1</v>
      </c>
      <c r="N283" t="s">
        <v>601</v>
      </c>
      <c r="P283" t="s">
        <v>234</v>
      </c>
      <c r="Q283" t="b">
        <v>0</v>
      </c>
      <c r="S283" t="str">
        <f>"9780310753667"</f>
        <v>9780310753667</v>
      </c>
      <c r="T283" t="str">
        <f>"9780310757122"</f>
        <v>9780310757122</v>
      </c>
      <c r="U283" t="b">
        <v>0</v>
      </c>
      <c r="W283" t="b">
        <v>0</v>
      </c>
    </row>
    <row r="284" spans="1:23" x14ac:dyDescent="0.3">
      <c r="A284">
        <v>3145280</v>
      </c>
      <c r="B284">
        <v>17.22</v>
      </c>
      <c r="C284" t="s">
        <v>602</v>
      </c>
      <c r="E284" t="s">
        <v>23</v>
      </c>
      <c r="F284" t="s">
        <v>28</v>
      </c>
      <c r="G284">
        <v>2016</v>
      </c>
      <c r="H284" t="s">
        <v>75</v>
      </c>
      <c r="K284" t="s">
        <v>25</v>
      </c>
      <c r="L284" t="s">
        <v>26</v>
      </c>
      <c r="M284" t="b">
        <v>1</v>
      </c>
      <c r="N284" t="s">
        <v>146</v>
      </c>
      <c r="P284" t="s">
        <v>146</v>
      </c>
      <c r="Q284" t="b">
        <v>0</v>
      </c>
      <c r="S284" t="str">
        <f>"9780310725183"</f>
        <v>9780310725183</v>
      </c>
      <c r="T284" t="str">
        <f>"9780310756989"</f>
        <v>9780310756989</v>
      </c>
      <c r="U284" t="b">
        <v>0</v>
      </c>
      <c r="W284" t="b">
        <v>0</v>
      </c>
    </row>
    <row r="285" spans="1:23" x14ac:dyDescent="0.3">
      <c r="A285">
        <v>3145279</v>
      </c>
      <c r="B285">
        <v>10.63</v>
      </c>
      <c r="C285" t="s">
        <v>603</v>
      </c>
      <c r="E285" t="s">
        <v>23</v>
      </c>
      <c r="F285" t="s">
        <v>28</v>
      </c>
      <c r="G285">
        <v>2016</v>
      </c>
      <c r="H285" t="s">
        <v>75</v>
      </c>
      <c r="K285" t="s">
        <v>25</v>
      </c>
      <c r="L285" t="s">
        <v>26</v>
      </c>
      <c r="M285" t="b">
        <v>1</v>
      </c>
      <c r="N285" t="s">
        <v>146</v>
      </c>
      <c r="P285" t="s">
        <v>146</v>
      </c>
      <c r="Q285" t="b">
        <v>0</v>
      </c>
      <c r="S285" t="str">
        <f>"9780310725190"</f>
        <v>9780310725190</v>
      </c>
      <c r="T285" t="str">
        <f>"9780310756927"</f>
        <v>9780310756927</v>
      </c>
      <c r="U285" t="b">
        <v>0</v>
      </c>
      <c r="W285" t="b">
        <v>0</v>
      </c>
    </row>
    <row r="286" spans="1:23" x14ac:dyDescent="0.3">
      <c r="A286">
        <v>3145278</v>
      </c>
      <c r="B286">
        <v>34.47</v>
      </c>
      <c r="C286" t="s">
        <v>604</v>
      </c>
      <c r="E286" t="s">
        <v>23</v>
      </c>
      <c r="F286" t="s">
        <v>28</v>
      </c>
      <c r="G286">
        <v>2016</v>
      </c>
      <c r="H286" t="s">
        <v>41</v>
      </c>
      <c r="K286" t="s">
        <v>25</v>
      </c>
      <c r="L286" t="s">
        <v>145</v>
      </c>
      <c r="M286" t="b">
        <v>1</v>
      </c>
      <c r="N286" t="s">
        <v>291</v>
      </c>
      <c r="Q286" t="b">
        <v>1</v>
      </c>
      <c r="S286" t="str">
        <f>"9780310748120"</f>
        <v>9780310748120</v>
      </c>
      <c r="T286" t="str">
        <f>"9780310755357"</f>
        <v>9780310755357</v>
      </c>
      <c r="U286" t="b">
        <v>0</v>
      </c>
      <c r="W286" t="b">
        <v>0</v>
      </c>
    </row>
    <row r="287" spans="1:23" x14ac:dyDescent="0.3">
      <c r="A287">
        <v>3145277</v>
      </c>
      <c r="B287">
        <v>13.77</v>
      </c>
      <c r="C287" t="s">
        <v>605</v>
      </c>
      <c r="E287" t="s">
        <v>23</v>
      </c>
      <c r="F287" t="s">
        <v>28</v>
      </c>
      <c r="G287">
        <v>2016</v>
      </c>
      <c r="H287" t="s">
        <v>29</v>
      </c>
      <c r="K287" t="s">
        <v>25</v>
      </c>
      <c r="L287" t="s">
        <v>145</v>
      </c>
      <c r="M287" t="b">
        <v>1</v>
      </c>
      <c r="N287" t="s">
        <v>339</v>
      </c>
      <c r="P287" t="s">
        <v>36</v>
      </c>
      <c r="Q287" t="b">
        <v>1</v>
      </c>
      <c r="S287" t="str">
        <f>"9780310749028"</f>
        <v>9780310749028</v>
      </c>
      <c r="T287" t="str">
        <f>"9780310749097"</f>
        <v>9780310749097</v>
      </c>
      <c r="U287" t="b">
        <v>0</v>
      </c>
      <c r="W287" t="b">
        <v>0</v>
      </c>
    </row>
    <row r="288" spans="1:23" x14ac:dyDescent="0.3">
      <c r="A288">
        <v>3145276</v>
      </c>
      <c r="B288">
        <v>17.22</v>
      </c>
      <c r="C288" t="s">
        <v>606</v>
      </c>
      <c r="D288" t="s">
        <v>138</v>
      </c>
      <c r="E288" t="s">
        <v>23</v>
      </c>
      <c r="F288" t="s">
        <v>28</v>
      </c>
      <c r="G288">
        <v>2015</v>
      </c>
      <c r="H288" t="s">
        <v>144</v>
      </c>
      <c r="K288" t="s">
        <v>25</v>
      </c>
      <c r="L288" t="s">
        <v>145</v>
      </c>
      <c r="M288" t="b">
        <v>1</v>
      </c>
      <c r="N288" t="s">
        <v>44</v>
      </c>
      <c r="P288" t="s">
        <v>607</v>
      </c>
      <c r="Q288" t="b">
        <v>0</v>
      </c>
      <c r="S288" t="str">
        <f>"9780310732426"</f>
        <v>9780310732426</v>
      </c>
      <c r="T288" t="str">
        <f>"9780310754121"</f>
        <v>9780310754121</v>
      </c>
      <c r="U288" t="b">
        <v>0</v>
      </c>
      <c r="W288" t="b">
        <v>0</v>
      </c>
    </row>
    <row r="289" spans="1:23" x14ac:dyDescent="0.3">
      <c r="A289">
        <v>3145275</v>
      </c>
      <c r="B289">
        <v>17.22</v>
      </c>
      <c r="C289" t="s">
        <v>608</v>
      </c>
      <c r="E289" t="s">
        <v>23</v>
      </c>
      <c r="F289" t="s">
        <v>28</v>
      </c>
      <c r="G289">
        <v>2015</v>
      </c>
      <c r="H289" t="s">
        <v>34</v>
      </c>
      <c r="K289" t="s">
        <v>25</v>
      </c>
      <c r="L289" t="s">
        <v>145</v>
      </c>
      <c r="M289" t="b">
        <v>1</v>
      </c>
      <c r="N289" t="s">
        <v>339</v>
      </c>
      <c r="P289" t="s">
        <v>36</v>
      </c>
      <c r="Q289" t="b">
        <v>1</v>
      </c>
      <c r="S289" t="str">
        <f>"9780310748656"</f>
        <v>9780310748656</v>
      </c>
      <c r="T289" t="str">
        <f>"9780310748472"</f>
        <v>9780310748472</v>
      </c>
      <c r="U289" t="b">
        <v>0</v>
      </c>
      <c r="W289" t="b">
        <v>0</v>
      </c>
    </row>
    <row r="290" spans="1:23" x14ac:dyDescent="0.3">
      <c r="A290">
        <v>3145274</v>
      </c>
      <c r="B290">
        <v>17.22</v>
      </c>
      <c r="C290" t="s">
        <v>609</v>
      </c>
      <c r="D290" t="s">
        <v>138</v>
      </c>
      <c r="E290" t="s">
        <v>23</v>
      </c>
      <c r="F290" t="s">
        <v>28</v>
      </c>
      <c r="G290">
        <v>2015</v>
      </c>
      <c r="H290" t="s">
        <v>341</v>
      </c>
      <c r="K290" t="s">
        <v>25</v>
      </c>
      <c r="L290" t="s">
        <v>145</v>
      </c>
      <c r="M290" t="b">
        <v>1</v>
      </c>
      <c r="N290" t="s">
        <v>44</v>
      </c>
      <c r="P290" t="s">
        <v>607</v>
      </c>
      <c r="Q290" t="b">
        <v>0</v>
      </c>
      <c r="S290" t="str">
        <f>"9780310732402"</f>
        <v>9780310732402</v>
      </c>
      <c r="T290" t="str">
        <f>"9780310754244"</f>
        <v>9780310754244</v>
      </c>
      <c r="U290" t="b">
        <v>0</v>
      </c>
      <c r="W290" t="b">
        <v>0</v>
      </c>
    </row>
    <row r="291" spans="1:23" x14ac:dyDescent="0.3">
      <c r="A291">
        <v>3145273</v>
      </c>
      <c r="B291">
        <v>34.47</v>
      </c>
      <c r="C291" t="s">
        <v>610</v>
      </c>
      <c r="E291" t="s">
        <v>23</v>
      </c>
      <c r="F291" t="s">
        <v>28</v>
      </c>
      <c r="G291">
        <v>2015</v>
      </c>
      <c r="H291" t="s">
        <v>34</v>
      </c>
      <c r="K291" t="s">
        <v>25</v>
      </c>
      <c r="L291" t="s">
        <v>26</v>
      </c>
      <c r="M291" t="b">
        <v>1</v>
      </c>
      <c r="N291" t="s">
        <v>39</v>
      </c>
      <c r="P291" t="s">
        <v>36</v>
      </c>
      <c r="Q291" t="b">
        <v>1</v>
      </c>
      <c r="S291" t="str">
        <f>"9780310735052"</f>
        <v>9780310735052</v>
      </c>
      <c r="T291" t="str">
        <f>"9780310754091"</f>
        <v>9780310754091</v>
      </c>
      <c r="U291" t="b">
        <v>0</v>
      </c>
      <c r="W291" t="b">
        <v>0</v>
      </c>
    </row>
    <row r="292" spans="1:23" x14ac:dyDescent="0.3">
      <c r="A292">
        <v>3145272</v>
      </c>
      <c r="B292">
        <v>17.22</v>
      </c>
      <c r="C292" t="s">
        <v>611</v>
      </c>
      <c r="D292" t="s">
        <v>138</v>
      </c>
      <c r="E292" t="s">
        <v>23</v>
      </c>
      <c r="F292" t="s">
        <v>28</v>
      </c>
      <c r="G292">
        <v>2015</v>
      </c>
      <c r="H292" t="s">
        <v>341</v>
      </c>
      <c r="K292" t="s">
        <v>25</v>
      </c>
      <c r="L292" t="s">
        <v>145</v>
      </c>
      <c r="M292" t="b">
        <v>1</v>
      </c>
      <c r="N292" t="s">
        <v>44</v>
      </c>
      <c r="P292" t="s">
        <v>607</v>
      </c>
      <c r="Q292" t="b">
        <v>0</v>
      </c>
      <c r="S292" t="str">
        <f>"9780310750932"</f>
        <v>9780310750932</v>
      </c>
      <c r="T292" t="str">
        <f>"9780310750949"</f>
        <v>9780310750949</v>
      </c>
      <c r="U292" t="b">
        <v>0</v>
      </c>
      <c r="W292" t="b">
        <v>0</v>
      </c>
    </row>
    <row r="293" spans="1:23" x14ac:dyDescent="0.3">
      <c r="A293">
        <v>3145271</v>
      </c>
      <c r="B293">
        <v>17.22</v>
      </c>
      <c r="C293" t="s">
        <v>612</v>
      </c>
      <c r="E293" t="s">
        <v>23</v>
      </c>
      <c r="F293" t="s">
        <v>28</v>
      </c>
      <c r="G293">
        <v>2015</v>
      </c>
      <c r="H293" t="s">
        <v>34</v>
      </c>
      <c r="K293" t="s">
        <v>25</v>
      </c>
      <c r="L293" t="s">
        <v>145</v>
      </c>
      <c r="M293" t="b">
        <v>1</v>
      </c>
      <c r="N293" t="s">
        <v>39</v>
      </c>
      <c r="P293" t="s">
        <v>36</v>
      </c>
      <c r="Q293" t="b">
        <v>1</v>
      </c>
      <c r="S293" t="str">
        <f>"9780310751021"</f>
        <v>9780310751021</v>
      </c>
      <c r="T293" t="str">
        <f>"9780310751144"</f>
        <v>9780310751144</v>
      </c>
      <c r="U293" t="b">
        <v>0</v>
      </c>
      <c r="W293" t="b">
        <v>0</v>
      </c>
    </row>
    <row r="294" spans="1:23" x14ac:dyDescent="0.3">
      <c r="A294">
        <v>3145270</v>
      </c>
      <c r="B294">
        <v>17.22</v>
      </c>
      <c r="C294" t="s">
        <v>613</v>
      </c>
      <c r="D294" t="s">
        <v>138</v>
      </c>
      <c r="E294" t="s">
        <v>23</v>
      </c>
      <c r="F294" t="s">
        <v>28</v>
      </c>
      <c r="G294">
        <v>2015</v>
      </c>
      <c r="H294" t="s">
        <v>144</v>
      </c>
      <c r="K294" t="s">
        <v>25</v>
      </c>
      <c r="L294" t="s">
        <v>145</v>
      </c>
      <c r="M294" t="b">
        <v>1</v>
      </c>
      <c r="N294" t="s">
        <v>44</v>
      </c>
      <c r="P294" t="s">
        <v>607</v>
      </c>
      <c r="Q294" t="b">
        <v>0</v>
      </c>
      <c r="S294" t="str">
        <f>"9780310750840"</f>
        <v>9780310750840</v>
      </c>
      <c r="T294" t="str">
        <f>"9780310750857"</f>
        <v>9780310750857</v>
      </c>
      <c r="U294" t="b">
        <v>0</v>
      </c>
      <c r="W294" t="b">
        <v>0</v>
      </c>
    </row>
    <row r="295" spans="1:23" x14ac:dyDescent="0.3">
      <c r="A295">
        <v>3145269</v>
      </c>
      <c r="B295">
        <v>17.22</v>
      </c>
      <c r="C295" t="s">
        <v>614</v>
      </c>
      <c r="D295" t="s">
        <v>138</v>
      </c>
      <c r="E295" t="s">
        <v>23</v>
      </c>
      <c r="F295" t="s">
        <v>28</v>
      </c>
      <c r="G295">
        <v>2015</v>
      </c>
      <c r="H295" t="s">
        <v>34</v>
      </c>
      <c r="K295" t="s">
        <v>25</v>
      </c>
      <c r="L295" t="s">
        <v>145</v>
      </c>
      <c r="M295" t="b">
        <v>1</v>
      </c>
      <c r="N295" t="s">
        <v>44</v>
      </c>
      <c r="P295" t="s">
        <v>607</v>
      </c>
      <c r="Q295" t="b">
        <v>1</v>
      </c>
      <c r="S295" t="str">
        <f>"9780310746508"</f>
        <v>9780310746508</v>
      </c>
      <c r="T295" t="str">
        <f>"9780310746638"</f>
        <v>9780310746638</v>
      </c>
      <c r="U295" t="b">
        <v>0</v>
      </c>
      <c r="W295" t="b">
        <v>0</v>
      </c>
    </row>
    <row r="296" spans="1:23" x14ac:dyDescent="0.3">
      <c r="A296">
        <v>3145268</v>
      </c>
      <c r="B296">
        <v>17.22</v>
      </c>
      <c r="C296" t="s">
        <v>615</v>
      </c>
      <c r="D296" t="s">
        <v>138</v>
      </c>
      <c r="E296" t="s">
        <v>23</v>
      </c>
      <c r="F296" t="s">
        <v>28</v>
      </c>
      <c r="G296">
        <v>2015</v>
      </c>
      <c r="H296" t="s">
        <v>144</v>
      </c>
      <c r="K296" t="s">
        <v>25</v>
      </c>
      <c r="L296" t="s">
        <v>145</v>
      </c>
      <c r="M296" t="b">
        <v>1</v>
      </c>
      <c r="N296" t="s">
        <v>44</v>
      </c>
      <c r="P296" t="s">
        <v>607</v>
      </c>
      <c r="Q296" t="b">
        <v>0</v>
      </c>
      <c r="S296" t="str">
        <f>"9780310732365"</f>
        <v>9780310732365</v>
      </c>
      <c r="T296" t="str">
        <f>"9780310754152"</f>
        <v>9780310754152</v>
      </c>
      <c r="U296" t="b">
        <v>0</v>
      </c>
      <c r="W296" t="b">
        <v>0</v>
      </c>
    </row>
    <row r="297" spans="1:23" x14ac:dyDescent="0.3">
      <c r="A297">
        <v>3145267</v>
      </c>
      <c r="B297">
        <v>17.22</v>
      </c>
      <c r="C297" t="s">
        <v>616</v>
      </c>
      <c r="D297" t="s">
        <v>138</v>
      </c>
      <c r="E297" t="s">
        <v>23</v>
      </c>
      <c r="F297" t="s">
        <v>28</v>
      </c>
      <c r="G297">
        <v>2015</v>
      </c>
      <c r="H297" t="s">
        <v>144</v>
      </c>
      <c r="K297" t="s">
        <v>25</v>
      </c>
      <c r="L297" t="s">
        <v>145</v>
      </c>
      <c r="M297" t="b">
        <v>1</v>
      </c>
      <c r="N297" t="s">
        <v>44</v>
      </c>
      <c r="P297" t="s">
        <v>607</v>
      </c>
      <c r="Q297" t="b">
        <v>0</v>
      </c>
      <c r="S297" t="str">
        <f>"9780310732389"</f>
        <v>9780310732389</v>
      </c>
      <c r="T297" t="str">
        <f>"9780310754008"</f>
        <v>9780310754008</v>
      </c>
      <c r="U297" t="b">
        <v>0</v>
      </c>
      <c r="W297" t="b">
        <v>0</v>
      </c>
    </row>
    <row r="298" spans="1:23" x14ac:dyDescent="0.3">
      <c r="A298">
        <v>3145266</v>
      </c>
      <c r="B298">
        <v>58.62</v>
      </c>
      <c r="C298" t="s">
        <v>617</v>
      </c>
      <c r="D298" t="s">
        <v>618</v>
      </c>
      <c r="E298" t="s">
        <v>23</v>
      </c>
      <c r="F298" t="s">
        <v>28</v>
      </c>
      <c r="G298">
        <v>2015</v>
      </c>
      <c r="H298" t="s">
        <v>381</v>
      </c>
      <c r="K298" t="s">
        <v>25</v>
      </c>
      <c r="L298" t="s">
        <v>145</v>
      </c>
      <c r="M298" t="b">
        <v>1</v>
      </c>
      <c r="N298" t="s">
        <v>272</v>
      </c>
      <c r="Q298" t="b">
        <v>0</v>
      </c>
      <c r="S298" t="str">
        <f>"9780310747673"</f>
        <v>9780310747673</v>
      </c>
      <c r="T298" t="str">
        <f>"9780310746775"</f>
        <v>9780310746775</v>
      </c>
      <c r="U298" t="b">
        <v>0</v>
      </c>
      <c r="W298" t="b">
        <v>0</v>
      </c>
    </row>
    <row r="299" spans="1:23" x14ac:dyDescent="0.3">
      <c r="A299">
        <v>3145265</v>
      </c>
      <c r="B299">
        <v>31.02</v>
      </c>
      <c r="C299" t="s">
        <v>619</v>
      </c>
      <c r="D299" t="s">
        <v>620</v>
      </c>
      <c r="E299" t="s">
        <v>23</v>
      </c>
      <c r="F299" t="s">
        <v>28</v>
      </c>
      <c r="G299">
        <v>2015</v>
      </c>
      <c r="H299" t="s">
        <v>265</v>
      </c>
      <c r="K299" t="s">
        <v>25</v>
      </c>
      <c r="L299" t="s">
        <v>145</v>
      </c>
      <c r="M299" t="b">
        <v>1</v>
      </c>
      <c r="N299" t="s">
        <v>408</v>
      </c>
      <c r="Q299" t="b">
        <v>1</v>
      </c>
      <c r="S299" t="str">
        <f>"9780310715054"</f>
        <v>9780310715054</v>
      </c>
      <c r="T299" t="str">
        <f>"9780310734543"</f>
        <v>9780310734543</v>
      </c>
      <c r="U299" t="b">
        <v>0</v>
      </c>
      <c r="W299" t="b">
        <v>0</v>
      </c>
    </row>
    <row r="300" spans="1:23" x14ac:dyDescent="0.3">
      <c r="A300">
        <v>3145264</v>
      </c>
      <c r="B300">
        <v>17.22</v>
      </c>
      <c r="C300" t="s">
        <v>621</v>
      </c>
      <c r="D300" t="s">
        <v>138</v>
      </c>
      <c r="E300" t="s">
        <v>23</v>
      </c>
      <c r="F300" t="s">
        <v>28</v>
      </c>
      <c r="G300">
        <v>2015</v>
      </c>
      <c r="H300" t="s">
        <v>144</v>
      </c>
      <c r="K300" t="s">
        <v>25</v>
      </c>
      <c r="L300" t="s">
        <v>145</v>
      </c>
      <c r="M300" t="b">
        <v>1</v>
      </c>
      <c r="N300" t="s">
        <v>44</v>
      </c>
      <c r="P300" t="s">
        <v>607</v>
      </c>
      <c r="Q300" t="b">
        <v>0</v>
      </c>
      <c r="S300" t="str">
        <f>"9780310746621"</f>
        <v>9780310746621</v>
      </c>
      <c r="T300" t="str">
        <f>"9780310746928"</f>
        <v>9780310746928</v>
      </c>
      <c r="U300" t="b">
        <v>0</v>
      </c>
      <c r="W300" t="b">
        <v>0</v>
      </c>
    </row>
    <row r="301" spans="1:23" x14ac:dyDescent="0.3">
      <c r="A301">
        <v>3145263</v>
      </c>
      <c r="B301">
        <v>34.47</v>
      </c>
      <c r="C301" t="s">
        <v>622</v>
      </c>
      <c r="E301" t="s">
        <v>23</v>
      </c>
      <c r="F301" t="s">
        <v>28</v>
      </c>
      <c r="G301">
        <v>2016</v>
      </c>
      <c r="H301" t="s">
        <v>144</v>
      </c>
      <c r="K301" t="s">
        <v>25</v>
      </c>
      <c r="L301" t="s">
        <v>26</v>
      </c>
      <c r="M301" t="b">
        <v>1</v>
      </c>
      <c r="N301" t="s">
        <v>44</v>
      </c>
      <c r="Q301" t="b">
        <v>0</v>
      </c>
      <c r="S301" t="str">
        <f>"9780310753865"</f>
        <v>9780310753865</v>
      </c>
      <c r="T301" t="str">
        <f>"9780310753872"</f>
        <v>9780310753872</v>
      </c>
      <c r="U301" t="b">
        <v>0</v>
      </c>
      <c r="W301" t="b">
        <v>0</v>
      </c>
    </row>
    <row r="302" spans="1:23" x14ac:dyDescent="0.3">
      <c r="A302">
        <v>3145262</v>
      </c>
      <c r="B302">
        <v>34.47</v>
      </c>
      <c r="C302" t="s">
        <v>623</v>
      </c>
      <c r="E302" t="s">
        <v>23</v>
      </c>
      <c r="F302" t="s">
        <v>28</v>
      </c>
      <c r="G302">
        <v>2016</v>
      </c>
      <c r="H302" t="s">
        <v>75</v>
      </c>
      <c r="K302" t="s">
        <v>25</v>
      </c>
      <c r="L302" t="s">
        <v>26</v>
      </c>
      <c r="M302" t="b">
        <v>1</v>
      </c>
      <c r="N302" t="s">
        <v>250</v>
      </c>
      <c r="Q302" t="b">
        <v>1</v>
      </c>
      <c r="S302" t="str">
        <f>"9780310753308"</f>
        <v>9780310753308</v>
      </c>
      <c r="T302" t="str">
        <f>"9780310753490"</f>
        <v>9780310753490</v>
      </c>
      <c r="U302" t="b">
        <v>0</v>
      </c>
      <c r="W302" t="b">
        <v>0</v>
      </c>
    </row>
    <row r="303" spans="1:23" x14ac:dyDescent="0.3">
      <c r="A303">
        <v>3145261</v>
      </c>
      <c r="B303">
        <v>17.73</v>
      </c>
      <c r="C303" t="s">
        <v>624</v>
      </c>
      <c r="E303" t="s">
        <v>23</v>
      </c>
      <c r="F303" t="s">
        <v>28</v>
      </c>
      <c r="G303">
        <v>2016</v>
      </c>
      <c r="H303" t="s">
        <v>531</v>
      </c>
      <c r="K303" t="s">
        <v>25</v>
      </c>
      <c r="L303" t="s">
        <v>26</v>
      </c>
      <c r="M303" t="b">
        <v>1</v>
      </c>
      <c r="N303" t="s">
        <v>44</v>
      </c>
      <c r="Q303" t="b">
        <v>0</v>
      </c>
      <c r="T303" t="str">
        <f>"9780310753346"</f>
        <v>9780310753346</v>
      </c>
      <c r="U303" t="b">
        <v>0</v>
      </c>
      <c r="W303" t="b">
        <v>0</v>
      </c>
    </row>
    <row r="304" spans="1:23" x14ac:dyDescent="0.3">
      <c r="A304">
        <v>3145260</v>
      </c>
      <c r="B304">
        <v>31.02</v>
      </c>
      <c r="C304" t="s">
        <v>625</v>
      </c>
      <c r="E304" t="s">
        <v>23</v>
      </c>
      <c r="F304" t="s">
        <v>28</v>
      </c>
      <c r="G304">
        <v>2016</v>
      </c>
      <c r="H304" t="s">
        <v>41</v>
      </c>
      <c r="K304" t="s">
        <v>25</v>
      </c>
      <c r="L304" t="s">
        <v>26</v>
      </c>
      <c r="M304" t="b">
        <v>1</v>
      </c>
      <c r="N304" t="s">
        <v>626</v>
      </c>
      <c r="Q304" t="b">
        <v>1</v>
      </c>
      <c r="S304" t="str">
        <f>"9780310753070"</f>
        <v>9780310753070</v>
      </c>
      <c r="T304" t="str">
        <f>"9780310753186"</f>
        <v>9780310753186</v>
      </c>
      <c r="U304" t="b">
        <v>0</v>
      </c>
      <c r="W304" t="b">
        <v>0</v>
      </c>
    </row>
    <row r="305" spans="1:23" x14ac:dyDescent="0.3">
      <c r="A305">
        <v>3145259</v>
      </c>
      <c r="B305">
        <v>17.73</v>
      </c>
      <c r="C305" t="s">
        <v>627</v>
      </c>
      <c r="E305" t="s">
        <v>23</v>
      </c>
      <c r="F305" t="s">
        <v>28</v>
      </c>
      <c r="G305">
        <v>2016</v>
      </c>
      <c r="H305" t="s">
        <v>243</v>
      </c>
      <c r="K305" t="s">
        <v>25</v>
      </c>
      <c r="L305" t="s">
        <v>26</v>
      </c>
      <c r="M305" t="b">
        <v>1</v>
      </c>
      <c r="N305" t="s">
        <v>626</v>
      </c>
      <c r="Q305" t="b">
        <v>1</v>
      </c>
      <c r="T305" t="str">
        <f>"9780310753179"</f>
        <v>9780310753179</v>
      </c>
      <c r="U305" t="b">
        <v>0</v>
      </c>
      <c r="W305" t="b">
        <v>0</v>
      </c>
    </row>
    <row r="306" spans="1:23" x14ac:dyDescent="0.3">
      <c r="A306">
        <v>3145258</v>
      </c>
      <c r="B306">
        <v>17.22</v>
      </c>
      <c r="C306" t="s">
        <v>628</v>
      </c>
      <c r="D306" t="s">
        <v>138</v>
      </c>
      <c r="E306" t="s">
        <v>23</v>
      </c>
      <c r="F306" t="s">
        <v>28</v>
      </c>
      <c r="G306">
        <v>2016</v>
      </c>
      <c r="H306" t="s">
        <v>144</v>
      </c>
      <c r="K306" t="s">
        <v>25</v>
      </c>
      <c r="L306" t="s">
        <v>145</v>
      </c>
      <c r="M306" t="b">
        <v>1</v>
      </c>
      <c r="N306" t="s">
        <v>44</v>
      </c>
      <c r="P306" t="s">
        <v>607</v>
      </c>
      <c r="Q306" t="b">
        <v>0</v>
      </c>
      <c r="S306" t="str">
        <f>"9780310750765"</f>
        <v>9780310750765</v>
      </c>
      <c r="T306" t="str">
        <f>"9780310750987"</f>
        <v>9780310750987</v>
      </c>
      <c r="U306" t="b">
        <v>0</v>
      </c>
      <c r="W306" t="b">
        <v>0</v>
      </c>
    </row>
    <row r="307" spans="1:23" x14ac:dyDescent="0.3">
      <c r="A307">
        <v>3145257</v>
      </c>
      <c r="B307">
        <v>34.47</v>
      </c>
      <c r="C307" t="s">
        <v>629</v>
      </c>
      <c r="E307" t="s">
        <v>23</v>
      </c>
      <c r="F307" t="s">
        <v>28</v>
      </c>
      <c r="G307">
        <v>2016</v>
      </c>
      <c r="H307" t="s">
        <v>630</v>
      </c>
      <c r="K307" t="s">
        <v>25</v>
      </c>
      <c r="L307" t="s">
        <v>26</v>
      </c>
      <c r="M307" t="b">
        <v>1</v>
      </c>
      <c r="N307" t="s">
        <v>287</v>
      </c>
      <c r="Q307" t="b">
        <v>0</v>
      </c>
      <c r="S307" t="str">
        <f>"9780310750727"</f>
        <v>9780310750727</v>
      </c>
      <c r="T307" t="str">
        <f>"9780310750550"</f>
        <v>9780310750550</v>
      </c>
      <c r="U307" t="b">
        <v>0</v>
      </c>
      <c r="W307" t="b">
        <v>0</v>
      </c>
    </row>
    <row r="308" spans="1:23" x14ac:dyDescent="0.3">
      <c r="A308">
        <v>3145256</v>
      </c>
      <c r="B308">
        <v>17.22</v>
      </c>
      <c r="C308" t="s">
        <v>631</v>
      </c>
      <c r="D308" t="s">
        <v>138</v>
      </c>
      <c r="E308" t="s">
        <v>23</v>
      </c>
      <c r="F308" t="s">
        <v>28</v>
      </c>
      <c r="G308">
        <v>2016</v>
      </c>
      <c r="H308" t="s">
        <v>144</v>
      </c>
      <c r="K308" t="s">
        <v>25</v>
      </c>
      <c r="L308" t="s">
        <v>145</v>
      </c>
      <c r="M308" t="b">
        <v>1</v>
      </c>
      <c r="N308" t="s">
        <v>44</v>
      </c>
      <c r="P308" t="s">
        <v>607</v>
      </c>
      <c r="Q308" t="b">
        <v>0</v>
      </c>
      <c r="S308" t="str">
        <f>"9780310750819"</f>
        <v>9780310750819</v>
      </c>
      <c r="T308" t="str">
        <f>"9780310750680"</f>
        <v>9780310750680</v>
      </c>
      <c r="U308" t="b">
        <v>0</v>
      </c>
      <c r="W308" t="b">
        <v>0</v>
      </c>
    </row>
    <row r="309" spans="1:23" x14ac:dyDescent="0.3">
      <c r="A309">
        <v>3145255</v>
      </c>
      <c r="B309">
        <v>34.47</v>
      </c>
      <c r="C309" t="s">
        <v>632</v>
      </c>
      <c r="E309" t="s">
        <v>23</v>
      </c>
      <c r="F309" t="s">
        <v>28</v>
      </c>
      <c r="G309">
        <v>2016</v>
      </c>
      <c r="H309" t="s">
        <v>141</v>
      </c>
      <c r="K309" t="s">
        <v>25</v>
      </c>
      <c r="L309" t="s">
        <v>26</v>
      </c>
      <c r="M309" t="b">
        <v>1</v>
      </c>
      <c r="N309" t="s">
        <v>210</v>
      </c>
      <c r="P309" t="s">
        <v>333</v>
      </c>
      <c r="Q309" t="b">
        <v>0</v>
      </c>
      <c r="S309" t="str">
        <f>"9780310749325"</f>
        <v>9780310749325</v>
      </c>
      <c r="T309" t="str">
        <f>"9780310749479"</f>
        <v>9780310749479</v>
      </c>
      <c r="U309" t="b">
        <v>0</v>
      </c>
      <c r="W309" t="b">
        <v>0</v>
      </c>
    </row>
    <row r="310" spans="1:23" x14ac:dyDescent="0.3">
      <c r="A310">
        <v>3145254</v>
      </c>
      <c r="B310">
        <v>13.77</v>
      </c>
      <c r="C310" t="s">
        <v>633</v>
      </c>
      <c r="E310" t="s">
        <v>23</v>
      </c>
      <c r="F310" t="s">
        <v>28</v>
      </c>
      <c r="G310">
        <v>2016</v>
      </c>
      <c r="H310" t="s">
        <v>34</v>
      </c>
      <c r="K310" t="s">
        <v>25</v>
      </c>
      <c r="L310" t="s">
        <v>145</v>
      </c>
      <c r="M310" t="b">
        <v>1</v>
      </c>
      <c r="N310" t="s">
        <v>339</v>
      </c>
      <c r="P310" t="s">
        <v>36</v>
      </c>
      <c r="Q310" t="b">
        <v>1</v>
      </c>
      <c r="S310" t="str">
        <f>"9780310748694"</f>
        <v>9780310748694</v>
      </c>
      <c r="T310" t="str">
        <f>"9780310748793"</f>
        <v>9780310748793</v>
      </c>
      <c r="U310" t="b">
        <v>0</v>
      </c>
      <c r="W310" t="b">
        <v>0</v>
      </c>
    </row>
    <row r="311" spans="1:23" x14ac:dyDescent="0.3">
      <c r="A311">
        <v>3145253</v>
      </c>
      <c r="B311">
        <v>58.62</v>
      </c>
      <c r="C311" t="s">
        <v>634</v>
      </c>
      <c r="D311" t="s">
        <v>635</v>
      </c>
      <c r="E311" t="s">
        <v>23</v>
      </c>
      <c r="F311" t="s">
        <v>28</v>
      </c>
      <c r="G311">
        <v>2016</v>
      </c>
      <c r="H311" t="s">
        <v>91</v>
      </c>
      <c r="K311" t="s">
        <v>25</v>
      </c>
      <c r="L311" t="s">
        <v>145</v>
      </c>
      <c r="M311" t="b">
        <v>1</v>
      </c>
      <c r="N311" t="s">
        <v>636</v>
      </c>
      <c r="Q311" t="b">
        <v>0</v>
      </c>
      <c r="S311" t="str">
        <f>"9780310743491"</f>
        <v>9780310743491</v>
      </c>
      <c r="T311" t="str">
        <f>"9780310743071"</f>
        <v>9780310743071</v>
      </c>
      <c r="U311" t="b">
        <v>0</v>
      </c>
      <c r="W311" t="b">
        <v>0</v>
      </c>
    </row>
    <row r="312" spans="1:23" x14ac:dyDescent="0.3">
      <c r="A312">
        <v>3145252</v>
      </c>
      <c r="B312">
        <v>42.61</v>
      </c>
      <c r="C312" t="s">
        <v>637</v>
      </c>
      <c r="E312" t="s">
        <v>23</v>
      </c>
      <c r="F312" t="s">
        <v>28</v>
      </c>
      <c r="G312">
        <v>2015</v>
      </c>
      <c r="H312" t="s">
        <v>75</v>
      </c>
      <c r="K312" t="s">
        <v>25</v>
      </c>
      <c r="L312" t="s">
        <v>145</v>
      </c>
      <c r="M312" t="b">
        <v>1</v>
      </c>
      <c r="N312" t="s">
        <v>317</v>
      </c>
      <c r="Q312" t="b">
        <v>0</v>
      </c>
      <c r="T312" t="str">
        <f>"9780310425236"</f>
        <v>9780310425236</v>
      </c>
      <c r="U312" t="b">
        <v>0</v>
      </c>
      <c r="W312" t="b">
        <v>0</v>
      </c>
    </row>
    <row r="313" spans="1:23" x14ac:dyDescent="0.3">
      <c r="A313">
        <v>3145250</v>
      </c>
      <c r="B313">
        <v>44.82</v>
      </c>
      <c r="C313" t="s">
        <v>638</v>
      </c>
      <c r="D313" t="s">
        <v>639</v>
      </c>
      <c r="E313" t="s">
        <v>23</v>
      </c>
      <c r="F313" t="s">
        <v>28</v>
      </c>
      <c r="G313">
        <v>2015</v>
      </c>
      <c r="H313" t="s">
        <v>640</v>
      </c>
      <c r="K313" t="s">
        <v>25</v>
      </c>
      <c r="L313" t="s">
        <v>145</v>
      </c>
      <c r="M313" t="b">
        <v>1</v>
      </c>
      <c r="N313" t="s">
        <v>339</v>
      </c>
      <c r="P313" t="s">
        <v>36</v>
      </c>
      <c r="Q313" t="b">
        <v>0</v>
      </c>
      <c r="S313" t="str">
        <f>"9780310747208"</f>
        <v>9780310747208</v>
      </c>
      <c r="T313" t="str">
        <f>"9780310747642"</f>
        <v>9780310747642</v>
      </c>
      <c r="U313" t="b">
        <v>0</v>
      </c>
      <c r="W313" t="b">
        <v>0</v>
      </c>
    </row>
    <row r="314" spans="1:23" x14ac:dyDescent="0.3">
      <c r="A314">
        <v>3145245</v>
      </c>
      <c r="B314">
        <v>34.47</v>
      </c>
      <c r="C314" t="s">
        <v>641</v>
      </c>
      <c r="E314" t="s">
        <v>23</v>
      </c>
      <c r="F314" t="s">
        <v>28</v>
      </c>
      <c r="G314">
        <v>2015</v>
      </c>
      <c r="H314" t="s">
        <v>642</v>
      </c>
      <c r="K314" t="s">
        <v>25</v>
      </c>
      <c r="L314" t="s">
        <v>145</v>
      </c>
      <c r="M314" t="b">
        <v>1</v>
      </c>
      <c r="N314" t="s">
        <v>643</v>
      </c>
      <c r="Q314" t="b">
        <v>1</v>
      </c>
      <c r="S314" t="str">
        <f>"9780310740544"</f>
        <v>9780310740544</v>
      </c>
      <c r="T314" t="str">
        <f>"9780310740568"</f>
        <v>9780310740568</v>
      </c>
      <c r="U314" t="b">
        <v>0</v>
      </c>
      <c r="W314" t="b">
        <v>0</v>
      </c>
    </row>
    <row r="315" spans="1:23" x14ac:dyDescent="0.3">
      <c r="A315">
        <v>3145242</v>
      </c>
      <c r="B315">
        <v>10.32</v>
      </c>
      <c r="C315" t="s">
        <v>644</v>
      </c>
      <c r="E315" t="s">
        <v>23</v>
      </c>
      <c r="F315" t="s">
        <v>28</v>
      </c>
      <c r="G315">
        <v>2015</v>
      </c>
      <c r="H315" t="s">
        <v>326</v>
      </c>
      <c r="K315" t="s">
        <v>25</v>
      </c>
      <c r="L315" t="s">
        <v>30</v>
      </c>
      <c r="M315" t="b">
        <v>1</v>
      </c>
      <c r="N315" t="s">
        <v>44</v>
      </c>
      <c r="Q315" t="b">
        <v>0</v>
      </c>
      <c r="S315" t="str">
        <f>"9780310740841"</f>
        <v>9780310740841</v>
      </c>
      <c r="T315" t="str">
        <f>"9780310740902"</f>
        <v>9780310740902</v>
      </c>
      <c r="U315" t="b">
        <v>0</v>
      </c>
      <c r="W315" t="b">
        <v>0</v>
      </c>
    </row>
    <row r="316" spans="1:23" x14ac:dyDescent="0.3">
      <c r="A316">
        <v>3145241</v>
      </c>
      <c r="B316">
        <v>31.95</v>
      </c>
      <c r="C316" t="s">
        <v>645</v>
      </c>
      <c r="E316" t="s">
        <v>23</v>
      </c>
      <c r="F316" t="s">
        <v>28</v>
      </c>
      <c r="G316">
        <v>2014</v>
      </c>
      <c r="H316" t="s">
        <v>75</v>
      </c>
      <c r="K316" t="s">
        <v>25</v>
      </c>
      <c r="L316" t="s">
        <v>26</v>
      </c>
      <c r="M316" t="b">
        <v>1</v>
      </c>
      <c r="N316" t="s">
        <v>44</v>
      </c>
      <c r="Q316" t="b">
        <v>0</v>
      </c>
      <c r="T316" t="str">
        <f>"9780310740667"</f>
        <v>9780310740667</v>
      </c>
      <c r="U316" t="b">
        <v>0</v>
      </c>
      <c r="W316" t="b">
        <v>0</v>
      </c>
    </row>
    <row r="317" spans="1:23" x14ac:dyDescent="0.3">
      <c r="A317">
        <v>3145238</v>
      </c>
      <c r="B317">
        <v>17.22</v>
      </c>
      <c r="C317" t="s">
        <v>646</v>
      </c>
      <c r="D317" t="s">
        <v>93</v>
      </c>
      <c r="E317" t="s">
        <v>23</v>
      </c>
      <c r="F317" t="s">
        <v>28</v>
      </c>
      <c r="G317">
        <v>2013</v>
      </c>
      <c r="H317" t="s">
        <v>153</v>
      </c>
      <c r="K317" t="s">
        <v>25</v>
      </c>
      <c r="L317" t="s">
        <v>145</v>
      </c>
      <c r="M317" t="b">
        <v>1</v>
      </c>
      <c r="N317" t="s">
        <v>39</v>
      </c>
      <c r="P317" t="s">
        <v>154</v>
      </c>
      <c r="Q317" t="b">
        <v>1</v>
      </c>
      <c r="S317" t="str">
        <f>"9780310721024"</f>
        <v>9780310721024</v>
      </c>
      <c r="T317" t="str">
        <f>"9780310739579"</f>
        <v>9780310739579</v>
      </c>
      <c r="U317" t="b">
        <v>0</v>
      </c>
      <c r="W317" t="b">
        <v>0</v>
      </c>
    </row>
    <row r="318" spans="1:23" x14ac:dyDescent="0.3">
      <c r="A318">
        <v>3145235</v>
      </c>
      <c r="B318">
        <v>10.32</v>
      </c>
      <c r="C318" t="s">
        <v>647</v>
      </c>
      <c r="E318" t="s">
        <v>23</v>
      </c>
      <c r="F318" t="s">
        <v>28</v>
      </c>
      <c r="G318">
        <v>2014</v>
      </c>
      <c r="H318" t="s">
        <v>466</v>
      </c>
      <c r="K318" t="s">
        <v>25</v>
      </c>
      <c r="L318" t="s">
        <v>26</v>
      </c>
      <c r="M318" t="b">
        <v>1</v>
      </c>
      <c r="N318" t="s">
        <v>648</v>
      </c>
      <c r="Q318" t="b">
        <v>0</v>
      </c>
      <c r="S318" t="str">
        <f>"9780310740834"</f>
        <v>9780310740834</v>
      </c>
      <c r="T318" t="str">
        <f>"9780310740872"</f>
        <v>9780310740872</v>
      </c>
      <c r="U318" t="b">
        <v>0</v>
      </c>
      <c r="W318" t="b">
        <v>0</v>
      </c>
    </row>
    <row r="319" spans="1:23" x14ac:dyDescent="0.3">
      <c r="A319">
        <v>3145230</v>
      </c>
      <c r="B319">
        <v>17.73</v>
      </c>
      <c r="C319" t="s">
        <v>649</v>
      </c>
      <c r="E319" t="s">
        <v>23</v>
      </c>
      <c r="F319" t="s">
        <v>28</v>
      </c>
      <c r="G319">
        <v>2014</v>
      </c>
      <c r="H319" t="s">
        <v>144</v>
      </c>
      <c r="K319" t="s">
        <v>25</v>
      </c>
      <c r="M319" t="b">
        <v>1</v>
      </c>
      <c r="N319" t="s">
        <v>44</v>
      </c>
      <c r="P319" t="s">
        <v>295</v>
      </c>
      <c r="Q319" t="b">
        <v>0</v>
      </c>
      <c r="T319" t="str">
        <f>"9780310743040"</f>
        <v>9780310743040</v>
      </c>
      <c r="U319" t="b">
        <v>0</v>
      </c>
      <c r="W319" t="b">
        <v>0</v>
      </c>
    </row>
    <row r="320" spans="1:23" x14ac:dyDescent="0.3">
      <c r="A320">
        <v>3145229</v>
      </c>
      <c r="B320">
        <v>17.73</v>
      </c>
      <c r="C320" t="s">
        <v>650</v>
      </c>
      <c r="E320" t="s">
        <v>23</v>
      </c>
      <c r="F320" t="s">
        <v>28</v>
      </c>
      <c r="G320">
        <v>2014</v>
      </c>
      <c r="H320" t="s">
        <v>144</v>
      </c>
      <c r="K320" t="s">
        <v>25</v>
      </c>
      <c r="M320" t="b">
        <v>1</v>
      </c>
      <c r="N320" t="s">
        <v>44</v>
      </c>
      <c r="P320" t="s">
        <v>295</v>
      </c>
      <c r="Q320" t="b">
        <v>0</v>
      </c>
      <c r="S320" t="str">
        <f>"9780310743156"</f>
        <v>9780310743156</v>
      </c>
      <c r="T320" t="str">
        <f>"9780310743125"</f>
        <v>9780310743125</v>
      </c>
      <c r="U320" t="b">
        <v>0</v>
      </c>
      <c r="W320" t="b">
        <v>0</v>
      </c>
    </row>
    <row r="321" spans="1:23" x14ac:dyDescent="0.3">
      <c r="A321">
        <v>3145228</v>
      </c>
      <c r="B321">
        <v>24.84</v>
      </c>
      <c r="C321" t="s">
        <v>651</v>
      </c>
      <c r="E321" t="s">
        <v>23</v>
      </c>
      <c r="F321" t="s">
        <v>28</v>
      </c>
      <c r="G321">
        <v>2014</v>
      </c>
      <c r="H321" t="s">
        <v>652</v>
      </c>
      <c r="K321" t="s">
        <v>25</v>
      </c>
      <c r="M321" t="b">
        <v>1</v>
      </c>
      <c r="N321" t="s">
        <v>44</v>
      </c>
      <c r="P321" t="s">
        <v>295</v>
      </c>
      <c r="Q321" t="b">
        <v>1</v>
      </c>
      <c r="S321" t="str">
        <f>"9780310743163"</f>
        <v>9780310743163</v>
      </c>
      <c r="T321" t="str">
        <f>"9780310743262"</f>
        <v>9780310743262</v>
      </c>
      <c r="U321" t="b">
        <v>0</v>
      </c>
      <c r="W321" t="b">
        <v>0</v>
      </c>
    </row>
    <row r="322" spans="1:23" x14ac:dyDescent="0.3">
      <c r="A322">
        <v>3145224</v>
      </c>
      <c r="B322">
        <v>58.62</v>
      </c>
      <c r="C322" t="s">
        <v>653</v>
      </c>
      <c r="E322" t="s">
        <v>23</v>
      </c>
      <c r="F322" t="s">
        <v>28</v>
      </c>
      <c r="G322">
        <v>2015</v>
      </c>
      <c r="H322" t="s">
        <v>41</v>
      </c>
      <c r="K322" t="s">
        <v>25</v>
      </c>
      <c r="L322" t="s">
        <v>145</v>
      </c>
      <c r="M322" t="b">
        <v>1</v>
      </c>
      <c r="N322" t="s">
        <v>654</v>
      </c>
      <c r="Q322" t="b">
        <v>1</v>
      </c>
      <c r="S322" t="str">
        <f>"9780310724100"</f>
        <v>9780310724100</v>
      </c>
      <c r="T322" t="str">
        <f>"9780310736202"</f>
        <v>9780310736202</v>
      </c>
      <c r="U322" t="b">
        <v>0</v>
      </c>
      <c r="W322" t="b">
        <v>0</v>
      </c>
    </row>
    <row r="323" spans="1:23" x14ac:dyDescent="0.3">
      <c r="A323">
        <v>3145223</v>
      </c>
      <c r="B323">
        <v>13.77</v>
      </c>
      <c r="C323" t="s">
        <v>655</v>
      </c>
      <c r="E323" t="s">
        <v>23</v>
      </c>
      <c r="F323" t="s">
        <v>28</v>
      </c>
      <c r="G323">
        <v>2014</v>
      </c>
      <c r="H323" t="s">
        <v>34</v>
      </c>
      <c r="K323" t="s">
        <v>25</v>
      </c>
      <c r="L323" t="s">
        <v>145</v>
      </c>
      <c r="M323" t="b">
        <v>1</v>
      </c>
      <c r="N323" t="s">
        <v>339</v>
      </c>
      <c r="P323" t="s">
        <v>36</v>
      </c>
      <c r="Q323" t="b">
        <v>1</v>
      </c>
      <c r="S323" t="str">
        <f>"9780310734796"</f>
        <v>9780310734796</v>
      </c>
      <c r="T323" t="str">
        <f>"9780310736899"</f>
        <v>9780310736899</v>
      </c>
      <c r="U323" t="b">
        <v>0</v>
      </c>
      <c r="W323" t="b">
        <v>0</v>
      </c>
    </row>
    <row r="324" spans="1:23" x14ac:dyDescent="0.3">
      <c r="A324">
        <v>3145216</v>
      </c>
      <c r="B324">
        <v>17.73</v>
      </c>
      <c r="C324" t="s">
        <v>656</v>
      </c>
      <c r="E324" t="s">
        <v>23</v>
      </c>
      <c r="F324" t="s">
        <v>28</v>
      </c>
      <c r="G324">
        <v>2014</v>
      </c>
      <c r="H324" t="s">
        <v>297</v>
      </c>
      <c r="K324" t="s">
        <v>25</v>
      </c>
      <c r="L324" t="s">
        <v>30</v>
      </c>
      <c r="M324" t="b">
        <v>1</v>
      </c>
      <c r="N324" t="s">
        <v>44</v>
      </c>
      <c r="P324" t="s">
        <v>298</v>
      </c>
      <c r="Q324" t="b">
        <v>0</v>
      </c>
      <c r="S324" t="str">
        <f>"9780310744801"</f>
        <v>9780310744801</v>
      </c>
      <c r="T324" t="str">
        <f>"9780310744832"</f>
        <v>9780310744832</v>
      </c>
      <c r="U324" t="b">
        <v>0</v>
      </c>
      <c r="W324" t="b">
        <v>0</v>
      </c>
    </row>
    <row r="325" spans="1:23" x14ac:dyDescent="0.3">
      <c r="A325">
        <v>3145214</v>
      </c>
      <c r="B325">
        <v>17.73</v>
      </c>
      <c r="C325" t="s">
        <v>657</v>
      </c>
      <c r="E325" t="s">
        <v>23</v>
      </c>
      <c r="F325" t="s">
        <v>28</v>
      </c>
      <c r="G325">
        <v>2014</v>
      </c>
      <c r="H325" t="s">
        <v>297</v>
      </c>
      <c r="I325" t="s">
        <v>658</v>
      </c>
      <c r="J325" t="s">
        <v>659</v>
      </c>
      <c r="K325" t="s">
        <v>25</v>
      </c>
      <c r="L325" t="s">
        <v>30</v>
      </c>
      <c r="M325" t="b">
        <v>1</v>
      </c>
      <c r="N325" t="s">
        <v>538</v>
      </c>
      <c r="O325" t="str">
        <f>"225.9/2"</f>
        <v>225.9/2</v>
      </c>
      <c r="P325" t="s">
        <v>660</v>
      </c>
      <c r="Q325" t="b">
        <v>0</v>
      </c>
      <c r="S325" t="str">
        <f>"9780310744733"</f>
        <v>9780310744733</v>
      </c>
      <c r="T325" t="str">
        <f>"9780310744948"</f>
        <v>9780310744948</v>
      </c>
      <c r="U325" t="b">
        <v>0</v>
      </c>
      <c r="W325" t="b">
        <v>0</v>
      </c>
    </row>
    <row r="326" spans="1:23" x14ac:dyDescent="0.3">
      <c r="A326">
        <v>3145172</v>
      </c>
      <c r="B326">
        <v>17.22</v>
      </c>
      <c r="C326" t="s">
        <v>661</v>
      </c>
      <c r="E326" t="s">
        <v>23</v>
      </c>
      <c r="F326" t="s">
        <v>28</v>
      </c>
      <c r="G326">
        <v>2013</v>
      </c>
      <c r="H326" t="s">
        <v>336</v>
      </c>
      <c r="K326" t="s">
        <v>25</v>
      </c>
      <c r="L326" t="s">
        <v>145</v>
      </c>
      <c r="M326" t="b">
        <v>1</v>
      </c>
      <c r="N326" t="s">
        <v>339</v>
      </c>
      <c r="P326" t="s">
        <v>36</v>
      </c>
      <c r="Q326" t="b">
        <v>1</v>
      </c>
      <c r="S326" t="str">
        <f>"9780310734895"</f>
        <v>9780310734895</v>
      </c>
      <c r="T326" t="str">
        <f>"9780310736851"</f>
        <v>9780310736851</v>
      </c>
      <c r="U326" t="b">
        <v>0</v>
      </c>
      <c r="W326" t="b">
        <v>0</v>
      </c>
    </row>
    <row r="327" spans="1:23" x14ac:dyDescent="0.3">
      <c r="A327">
        <v>3145162</v>
      </c>
      <c r="B327">
        <v>58.62</v>
      </c>
      <c r="C327" t="s">
        <v>662</v>
      </c>
      <c r="E327" t="s">
        <v>23</v>
      </c>
      <c r="F327" t="s">
        <v>28</v>
      </c>
      <c r="G327">
        <v>2013</v>
      </c>
      <c r="H327" t="s">
        <v>663</v>
      </c>
      <c r="K327" t="s">
        <v>25</v>
      </c>
      <c r="L327" t="s">
        <v>30</v>
      </c>
      <c r="M327" t="b">
        <v>1</v>
      </c>
      <c r="N327" t="s">
        <v>664</v>
      </c>
      <c r="Q327" t="b">
        <v>0</v>
      </c>
      <c r="S327" t="str">
        <f>"9780310734215"</f>
        <v>9780310734215</v>
      </c>
      <c r="T327" t="str">
        <f>"9780310735229"</f>
        <v>9780310735229</v>
      </c>
      <c r="U327" t="b">
        <v>0</v>
      </c>
      <c r="W327" t="b">
        <v>0</v>
      </c>
    </row>
    <row r="328" spans="1:23" x14ac:dyDescent="0.3">
      <c r="A328">
        <v>3145156</v>
      </c>
      <c r="B328">
        <v>17.22</v>
      </c>
      <c r="C328" t="s">
        <v>665</v>
      </c>
      <c r="D328" t="s">
        <v>93</v>
      </c>
      <c r="E328" t="s">
        <v>23</v>
      </c>
      <c r="F328" t="s">
        <v>28</v>
      </c>
      <c r="G328">
        <v>2012</v>
      </c>
      <c r="H328" t="s">
        <v>34</v>
      </c>
      <c r="K328" t="s">
        <v>25</v>
      </c>
      <c r="L328" t="s">
        <v>30</v>
      </c>
      <c r="M328" t="b">
        <v>1</v>
      </c>
      <c r="N328" t="s">
        <v>94</v>
      </c>
      <c r="P328" t="s">
        <v>95</v>
      </c>
      <c r="Q328" t="b">
        <v>1</v>
      </c>
      <c r="S328" t="str">
        <f>"9780310721628"</f>
        <v>9780310721628</v>
      </c>
      <c r="T328" t="str">
        <f>"9780310719618"</f>
        <v>9780310719618</v>
      </c>
      <c r="U328" t="b">
        <v>0</v>
      </c>
      <c r="W328" t="b">
        <v>0</v>
      </c>
    </row>
    <row r="329" spans="1:23" x14ac:dyDescent="0.3">
      <c r="A329">
        <v>3145155</v>
      </c>
      <c r="B329">
        <v>17.22</v>
      </c>
      <c r="C329" t="s">
        <v>666</v>
      </c>
      <c r="D329" t="s">
        <v>93</v>
      </c>
      <c r="E329" t="s">
        <v>23</v>
      </c>
      <c r="F329" t="s">
        <v>28</v>
      </c>
      <c r="G329">
        <v>2012</v>
      </c>
      <c r="H329" t="s">
        <v>34</v>
      </c>
      <c r="K329" t="s">
        <v>25</v>
      </c>
      <c r="L329" t="s">
        <v>30</v>
      </c>
      <c r="M329" t="b">
        <v>1</v>
      </c>
      <c r="N329" t="s">
        <v>94</v>
      </c>
      <c r="P329" t="s">
        <v>95</v>
      </c>
      <c r="Q329" t="b">
        <v>1</v>
      </c>
      <c r="S329" t="str">
        <f>"9780310721598"</f>
        <v>9780310721598</v>
      </c>
      <c r="T329" t="str">
        <f>"9780310719601"</f>
        <v>9780310719601</v>
      </c>
      <c r="U329" t="b">
        <v>0</v>
      </c>
      <c r="W329" t="b">
        <v>0</v>
      </c>
    </row>
    <row r="330" spans="1:23" x14ac:dyDescent="0.3">
      <c r="A330">
        <v>3145154</v>
      </c>
      <c r="B330">
        <v>17.22</v>
      </c>
      <c r="C330" t="s">
        <v>667</v>
      </c>
      <c r="D330" t="s">
        <v>93</v>
      </c>
      <c r="E330" t="s">
        <v>23</v>
      </c>
      <c r="F330" t="s">
        <v>28</v>
      </c>
      <c r="G330">
        <v>2012</v>
      </c>
      <c r="H330" t="s">
        <v>34</v>
      </c>
      <c r="K330" t="s">
        <v>25</v>
      </c>
      <c r="L330" t="s">
        <v>26</v>
      </c>
      <c r="M330" t="b">
        <v>1</v>
      </c>
      <c r="N330" t="s">
        <v>94</v>
      </c>
      <c r="P330" t="s">
        <v>95</v>
      </c>
      <c r="Q330" t="b">
        <v>1</v>
      </c>
      <c r="S330" t="str">
        <f>"9780310721604"</f>
        <v>9780310721604</v>
      </c>
      <c r="T330" t="str">
        <f>"9780310719595"</f>
        <v>9780310719595</v>
      </c>
      <c r="U330" t="b">
        <v>0</v>
      </c>
      <c r="W330" t="b">
        <v>0</v>
      </c>
    </row>
    <row r="331" spans="1:23" x14ac:dyDescent="0.3">
      <c r="A331">
        <v>3145153</v>
      </c>
      <c r="B331">
        <v>17.22</v>
      </c>
      <c r="C331" t="s">
        <v>668</v>
      </c>
      <c r="D331" t="s">
        <v>93</v>
      </c>
      <c r="E331" t="s">
        <v>23</v>
      </c>
      <c r="F331" t="s">
        <v>28</v>
      </c>
      <c r="G331">
        <v>2012</v>
      </c>
      <c r="H331" t="s">
        <v>34</v>
      </c>
      <c r="K331" t="s">
        <v>25</v>
      </c>
      <c r="L331" t="s">
        <v>30</v>
      </c>
      <c r="M331" t="b">
        <v>1</v>
      </c>
      <c r="N331" t="s">
        <v>94</v>
      </c>
      <c r="P331" t="s">
        <v>95</v>
      </c>
      <c r="Q331" t="b">
        <v>1</v>
      </c>
      <c r="S331" t="str">
        <f>"9780310721611"</f>
        <v>9780310721611</v>
      </c>
      <c r="T331" t="str">
        <f>"9780310719588"</f>
        <v>9780310719588</v>
      </c>
      <c r="U331" t="b">
        <v>0</v>
      </c>
      <c r="W331" t="b">
        <v>0</v>
      </c>
    </row>
    <row r="332" spans="1:23" x14ac:dyDescent="0.3">
      <c r="A332">
        <v>3145152</v>
      </c>
      <c r="B332">
        <v>10.63</v>
      </c>
      <c r="C332" t="s">
        <v>669</v>
      </c>
      <c r="D332" t="s">
        <v>670</v>
      </c>
      <c r="E332" t="s">
        <v>23</v>
      </c>
      <c r="F332" t="s">
        <v>28</v>
      </c>
      <c r="G332">
        <v>2012</v>
      </c>
      <c r="H332" t="s">
        <v>41</v>
      </c>
      <c r="K332" t="s">
        <v>25</v>
      </c>
      <c r="L332" t="s">
        <v>30</v>
      </c>
      <c r="M332" t="b">
        <v>1</v>
      </c>
      <c r="N332" t="s">
        <v>671</v>
      </c>
      <c r="P332" t="s">
        <v>672</v>
      </c>
      <c r="Q332" t="b">
        <v>1</v>
      </c>
      <c r="T332" t="str">
        <f>"9780310719564"</f>
        <v>9780310719564</v>
      </c>
      <c r="U332" t="b">
        <v>0</v>
      </c>
      <c r="W332" t="b">
        <v>0</v>
      </c>
    </row>
    <row r="333" spans="1:23" x14ac:dyDescent="0.3">
      <c r="A333">
        <v>3145148</v>
      </c>
      <c r="B333">
        <v>10.63</v>
      </c>
      <c r="C333" t="s">
        <v>673</v>
      </c>
      <c r="D333" t="s">
        <v>674</v>
      </c>
      <c r="E333" t="s">
        <v>23</v>
      </c>
      <c r="F333" t="s">
        <v>28</v>
      </c>
      <c r="G333">
        <v>2012</v>
      </c>
      <c r="H333" t="s">
        <v>41</v>
      </c>
      <c r="K333" t="s">
        <v>25</v>
      </c>
      <c r="L333" t="s">
        <v>30</v>
      </c>
      <c r="M333" t="b">
        <v>1</v>
      </c>
      <c r="N333" t="s">
        <v>675</v>
      </c>
      <c r="P333" t="s">
        <v>672</v>
      </c>
      <c r="Q333" t="b">
        <v>1</v>
      </c>
      <c r="S333" t="str">
        <f>"9780310706281"</f>
        <v>9780310706281</v>
      </c>
      <c r="T333" t="str">
        <f>"9780310718963"</f>
        <v>9780310718963</v>
      </c>
      <c r="U333" t="b">
        <v>0</v>
      </c>
      <c r="W333" t="b">
        <v>0</v>
      </c>
    </row>
    <row r="334" spans="1:23" x14ac:dyDescent="0.3">
      <c r="A334">
        <v>3145145</v>
      </c>
      <c r="B334">
        <v>62.07</v>
      </c>
      <c r="C334" t="s">
        <v>676</v>
      </c>
      <c r="E334" t="s">
        <v>23</v>
      </c>
      <c r="F334" t="s">
        <v>28</v>
      </c>
      <c r="G334">
        <v>2013</v>
      </c>
      <c r="H334" t="s">
        <v>75</v>
      </c>
      <c r="K334" t="s">
        <v>25</v>
      </c>
      <c r="L334" t="s">
        <v>145</v>
      </c>
      <c r="M334" t="b">
        <v>1</v>
      </c>
      <c r="N334" t="s">
        <v>44</v>
      </c>
      <c r="Q334" t="b">
        <v>0</v>
      </c>
      <c r="S334" t="str">
        <f>"9780310726029"</f>
        <v>9780310726029</v>
      </c>
      <c r="T334" t="str">
        <f>"9780310742678"</f>
        <v>9780310742678</v>
      </c>
      <c r="U334" t="b">
        <v>0</v>
      </c>
      <c r="W334" t="b">
        <v>0</v>
      </c>
    </row>
    <row r="335" spans="1:23" x14ac:dyDescent="0.3">
      <c r="A335">
        <v>3145144</v>
      </c>
      <c r="B335">
        <v>60.37</v>
      </c>
      <c r="C335" t="s">
        <v>677</v>
      </c>
      <c r="E335" t="s">
        <v>23</v>
      </c>
      <c r="F335" t="s">
        <v>28</v>
      </c>
      <c r="G335">
        <v>2012</v>
      </c>
      <c r="H335" t="s">
        <v>168</v>
      </c>
      <c r="K335" t="s">
        <v>25</v>
      </c>
      <c r="L335" t="s">
        <v>145</v>
      </c>
      <c r="M335" t="b">
        <v>1</v>
      </c>
      <c r="N335" t="s">
        <v>317</v>
      </c>
      <c r="Q335" t="b">
        <v>0</v>
      </c>
      <c r="S335" t="str">
        <f>"9780310721635"</f>
        <v>9780310721635</v>
      </c>
      <c r="T335" t="str">
        <f>"9780310740513"</f>
        <v>9780310740513</v>
      </c>
      <c r="U335" t="b">
        <v>0</v>
      </c>
      <c r="W335" t="b">
        <v>0</v>
      </c>
    </row>
    <row r="336" spans="1:23" x14ac:dyDescent="0.3">
      <c r="A336">
        <v>3145143</v>
      </c>
      <c r="B336">
        <v>17.22</v>
      </c>
      <c r="C336" t="s">
        <v>678</v>
      </c>
      <c r="D336" t="s">
        <v>93</v>
      </c>
      <c r="E336" t="s">
        <v>23</v>
      </c>
      <c r="F336" t="s">
        <v>28</v>
      </c>
      <c r="G336">
        <v>2012</v>
      </c>
      <c r="H336" t="s">
        <v>153</v>
      </c>
      <c r="K336" t="s">
        <v>25</v>
      </c>
      <c r="L336" t="s">
        <v>26</v>
      </c>
      <c r="M336" t="b">
        <v>1</v>
      </c>
      <c r="N336" t="s">
        <v>35</v>
      </c>
      <c r="P336" t="s">
        <v>257</v>
      </c>
      <c r="Q336" t="b">
        <v>1</v>
      </c>
      <c r="S336" t="str">
        <f>"9780310725091"</f>
        <v>9780310725091</v>
      </c>
      <c r="T336" t="str">
        <f>"9780310737605"</f>
        <v>9780310737605</v>
      </c>
      <c r="U336" t="b">
        <v>0</v>
      </c>
      <c r="W336" t="b">
        <v>0</v>
      </c>
    </row>
    <row r="337" spans="1:23" x14ac:dyDescent="0.3">
      <c r="A337">
        <v>3145141</v>
      </c>
      <c r="B337">
        <v>17.22</v>
      </c>
      <c r="C337" t="s">
        <v>679</v>
      </c>
      <c r="D337" t="s">
        <v>93</v>
      </c>
      <c r="E337" t="s">
        <v>23</v>
      </c>
      <c r="F337" t="s">
        <v>28</v>
      </c>
      <c r="G337">
        <v>2012</v>
      </c>
      <c r="H337" t="s">
        <v>34</v>
      </c>
      <c r="K337" t="s">
        <v>25</v>
      </c>
      <c r="L337" t="s">
        <v>145</v>
      </c>
      <c r="M337" t="b">
        <v>1</v>
      </c>
      <c r="N337" t="s">
        <v>35</v>
      </c>
      <c r="P337" t="s">
        <v>257</v>
      </c>
      <c r="Q337" t="b">
        <v>1</v>
      </c>
      <c r="S337" t="str">
        <f>"9780310725015"</f>
        <v>9780310725015</v>
      </c>
      <c r="T337" t="str">
        <f>"9780310737216"</f>
        <v>9780310737216</v>
      </c>
      <c r="U337" t="b">
        <v>0</v>
      </c>
      <c r="W337" t="b">
        <v>0</v>
      </c>
    </row>
    <row r="338" spans="1:23" x14ac:dyDescent="0.3">
      <c r="A338">
        <v>3145140</v>
      </c>
      <c r="B338">
        <v>14.18</v>
      </c>
      <c r="C338" t="s">
        <v>680</v>
      </c>
      <c r="D338" t="s">
        <v>681</v>
      </c>
      <c r="E338" t="s">
        <v>23</v>
      </c>
      <c r="F338" t="s">
        <v>28</v>
      </c>
      <c r="G338">
        <v>2012</v>
      </c>
      <c r="H338" t="s">
        <v>41</v>
      </c>
      <c r="K338" t="s">
        <v>25</v>
      </c>
      <c r="L338" t="s">
        <v>30</v>
      </c>
      <c r="M338" t="b">
        <v>1</v>
      </c>
      <c r="N338" t="s">
        <v>675</v>
      </c>
      <c r="P338" t="s">
        <v>672</v>
      </c>
      <c r="Q338" t="b">
        <v>1</v>
      </c>
      <c r="S338" t="str">
        <f>"9780310707431"</f>
        <v>9780310707431</v>
      </c>
      <c r="T338" t="str">
        <f>"9780310718055"</f>
        <v>9780310718055</v>
      </c>
      <c r="U338" t="b">
        <v>0</v>
      </c>
      <c r="W338" t="b">
        <v>0</v>
      </c>
    </row>
    <row r="339" spans="1:23" x14ac:dyDescent="0.3">
      <c r="A339">
        <v>3145137</v>
      </c>
      <c r="B339">
        <v>55.17</v>
      </c>
      <c r="C339" t="s">
        <v>682</v>
      </c>
      <c r="E339" t="s">
        <v>23</v>
      </c>
      <c r="F339" t="s">
        <v>28</v>
      </c>
      <c r="G339">
        <v>2016</v>
      </c>
      <c r="H339" t="s">
        <v>41</v>
      </c>
      <c r="K339" t="s">
        <v>25</v>
      </c>
      <c r="L339" t="s">
        <v>26</v>
      </c>
      <c r="M339" t="b">
        <v>1</v>
      </c>
      <c r="N339" t="s">
        <v>31</v>
      </c>
      <c r="Q339" t="b">
        <v>1</v>
      </c>
      <c r="S339" t="str">
        <f>"9780310716419"</f>
        <v>9780310716419</v>
      </c>
      <c r="T339" t="str">
        <f>"9780310755258"</f>
        <v>9780310755258</v>
      </c>
      <c r="U339" t="b">
        <v>0</v>
      </c>
      <c r="W339" t="b">
        <v>0</v>
      </c>
    </row>
    <row r="340" spans="1:23" x14ac:dyDescent="0.3">
      <c r="A340">
        <v>3145134</v>
      </c>
      <c r="B340">
        <v>17.22</v>
      </c>
      <c r="C340" t="s">
        <v>683</v>
      </c>
      <c r="E340" t="s">
        <v>23</v>
      </c>
      <c r="F340" t="s">
        <v>28</v>
      </c>
      <c r="G340">
        <v>2016</v>
      </c>
      <c r="H340" t="s">
        <v>34</v>
      </c>
      <c r="K340" t="s">
        <v>25</v>
      </c>
      <c r="L340" t="s">
        <v>26</v>
      </c>
      <c r="M340" t="b">
        <v>1</v>
      </c>
      <c r="N340" t="s">
        <v>684</v>
      </c>
      <c r="P340" t="s">
        <v>36</v>
      </c>
      <c r="Q340" t="b">
        <v>1</v>
      </c>
      <c r="S340" t="str">
        <f>"9780310720867"</f>
        <v>9780310720867</v>
      </c>
      <c r="T340" t="str">
        <f>"9780310756019"</f>
        <v>9780310756019</v>
      </c>
      <c r="U340" t="b">
        <v>0</v>
      </c>
      <c r="W340" t="b">
        <v>0</v>
      </c>
    </row>
    <row r="341" spans="1:23" x14ac:dyDescent="0.3">
      <c r="A341">
        <v>3145133</v>
      </c>
      <c r="B341">
        <v>17.22</v>
      </c>
      <c r="C341" t="s">
        <v>685</v>
      </c>
      <c r="D341" t="s">
        <v>93</v>
      </c>
      <c r="E341" t="s">
        <v>23</v>
      </c>
      <c r="F341" t="s">
        <v>28</v>
      </c>
      <c r="G341">
        <v>2015</v>
      </c>
      <c r="H341" t="s">
        <v>153</v>
      </c>
      <c r="K341" t="s">
        <v>25</v>
      </c>
      <c r="L341" t="s">
        <v>26</v>
      </c>
      <c r="M341" t="b">
        <v>1</v>
      </c>
      <c r="N341" t="s">
        <v>39</v>
      </c>
      <c r="P341" t="s">
        <v>154</v>
      </c>
      <c r="Q341" t="b">
        <v>1</v>
      </c>
      <c r="S341" t="str">
        <f>"9780310720980"</f>
        <v>9780310720980</v>
      </c>
      <c r="T341" t="str">
        <f>"9780310754275"</f>
        <v>9780310754275</v>
      </c>
      <c r="U341" t="b">
        <v>0</v>
      </c>
      <c r="W341" t="b">
        <v>0</v>
      </c>
    </row>
    <row r="342" spans="1:23" x14ac:dyDescent="0.3">
      <c r="A342">
        <v>3145132</v>
      </c>
      <c r="B342">
        <v>17.22</v>
      </c>
      <c r="C342" t="s">
        <v>686</v>
      </c>
      <c r="D342" t="s">
        <v>93</v>
      </c>
      <c r="E342" t="s">
        <v>23</v>
      </c>
      <c r="F342" t="s">
        <v>28</v>
      </c>
      <c r="G342">
        <v>2016</v>
      </c>
      <c r="H342" t="s">
        <v>34</v>
      </c>
      <c r="K342" t="s">
        <v>25</v>
      </c>
      <c r="L342" t="s">
        <v>26</v>
      </c>
      <c r="M342" t="b">
        <v>1</v>
      </c>
      <c r="N342" t="s">
        <v>39</v>
      </c>
      <c r="P342" t="s">
        <v>154</v>
      </c>
      <c r="Q342" t="b">
        <v>1</v>
      </c>
      <c r="S342" t="str">
        <f>"9780310721000"</f>
        <v>9780310721000</v>
      </c>
      <c r="T342" t="str">
        <f>"9780310755821"</f>
        <v>9780310755821</v>
      </c>
      <c r="U342" t="b">
        <v>0</v>
      </c>
      <c r="W342" t="b">
        <v>0</v>
      </c>
    </row>
    <row r="343" spans="1:23" x14ac:dyDescent="0.3">
      <c r="A343">
        <v>3145131</v>
      </c>
      <c r="B343">
        <v>13.77</v>
      </c>
      <c r="C343" t="s">
        <v>687</v>
      </c>
      <c r="D343" t="s">
        <v>688</v>
      </c>
      <c r="E343" t="s">
        <v>23</v>
      </c>
      <c r="F343" t="s">
        <v>28</v>
      </c>
      <c r="G343">
        <v>2016</v>
      </c>
      <c r="H343" t="s">
        <v>29</v>
      </c>
      <c r="K343" t="s">
        <v>25</v>
      </c>
      <c r="L343" t="s">
        <v>26</v>
      </c>
      <c r="M343" t="b">
        <v>1</v>
      </c>
      <c r="N343" t="s">
        <v>39</v>
      </c>
      <c r="P343" t="s">
        <v>36</v>
      </c>
      <c r="Q343" t="b">
        <v>1</v>
      </c>
      <c r="S343" t="str">
        <f>"9780310712558"</f>
        <v>9780310712558</v>
      </c>
      <c r="T343" t="str">
        <f>"9780310755944"</f>
        <v>9780310755944</v>
      </c>
      <c r="U343" t="b">
        <v>0</v>
      </c>
      <c r="W343" t="b">
        <v>0</v>
      </c>
    </row>
    <row r="344" spans="1:23" x14ac:dyDescent="0.3">
      <c r="A344">
        <v>3145130</v>
      </c>
      <c r="B344">
        <v>17.22</v>
      </c>
      <c r="C344" t="s">
        <v>689</v>
      </c>
      <c r="D344" t="s">
        <v>138</v>
      </c>
      <c r="E344" t="s">
        <v>23</v>
      </c>
      <c r="F344" t="s">
        <v>28</v>
      </c>
      <c r="G344">
        <v>2015</v>
      </c>
      <c r="H344" t="s">
        <v>34</v>
      </c>
      <c r="K344" t="s">
        <v>25</v>
      </c>
      <c r="L344" t="s">
        <v>26</v>
      </c>
      <c r="M344" t="b">
        <v>1</v>
      </c>
      <c r="N344" t="s">
        <v>690</v>
      </c>
      <c r="P344" t="s">
        <v>376</v>
      </c>
      <c r="Q344" t="b">
        <v>1</v>
      </c>
      <c r="S344" t="str">
        <f>"9780310716990"</f>
        <v>9780310716990</v>
      </c>
      <c r="T344" t="str">
        <f>"9780310754398"</f>
        <v>9780310754398</v>
      </c>
      <c r="U344" t="b">
        <v>0</v>
      </c>
      <c r="W344" t="b">
        <v>0</v>
      </c>
    </row>
    <row r="345" spans="1:23" x14ac:dyDescent="0.3">
      <c r="A345">
        <v>3145129</v>
      </c>
      <c r="B345">
        <v>17.22</v>
      </c>
      <c r="C345" t="s">
        <v>691</v>
      </c>
      <c r="D345" t="s">
        <v>138</v>
      </c>
      <c r="E345" t="s">
        <v>23</v>
      </c>
      <c r="F345" t="s">
        <v>28</v>
      </c>
      <c r="G345">
        <v>2015</v>
      </c>
      <c r="H345" t="s">
        <v>34</v>
      </c>
      <c r="K345" t="s">
        <v>25</v>
      </c>
      <c r="L345" t="s">
        <v>26</v>
      </c>
      <c r="M345" t="b">
        <v>1</v>
      </c>
      <c r="N345" t="s">
        <v>692</v>
      </c>
      <c r="P345" t="s">
        <v>376</v>
      </c>
      <c r="Q345" t="b">
        <v>1</v>
      </c>
      <c r="S345" t="str">
        <f>"9780310716983"</f>
        <v>9780310716983</v>
      </c>
      <c r="T345" t="str">
        <f>"9780310754640"</f>
        <v>9780310754640</v>
      </c>
      <c r="U345" t="b">
        <v>0</v>
      </c>
      <c r="W345" t="b">
        <v>0</v>
      </c>
    </row>
    <row r="346" spans="1:23" x14ac:dyDescent="0.3">
      <c r="A346">
        <v>3145128</v>
      </c>
      <c r="B346">
        <v>17.22</v>
      </c>
      <c r="C346" t="s">
        <v>693</v>
      </c>
      <c r="D346" t="s">
        <v>138</v>
      </c>
      <c r="E346" t="s">
        <v>23</v>
      </c>
      <c r="F346" t="s">
        <v>28</v>
      </c>
      <c r="G346">
        <v>2015</v>
      </c>
      <c r="H346" t="s">
        <v>34</v>
      </c>
      <c r="K346" t="s">
        <v>25</v>
      </c>
      <c r="L346" t="s">
        <v>26</v>
      </c>
      <c r="M346" t="b">
        <v>1</v>
      </c>
      <c r="N346" t="s">
        <v>692</v>
      </c>
      <c r="P346" t="s">
        <v>376</v>
      </c>
      <c r="Q346" t="b">
        <v>1</v>
      </c>
      <c r="S346" t="str">
        <f>"9780310716976"</f>
        <v>9780310716976</v>
      </c>
      <c r="T346" t="str">
        <f>"9780310754497"</f>
        <v>9780310754497</v>
      </c>
      <c r="U346" t="b">
        <v>0</v>
      </c>
      <c r="W346" t="b">
        <v>0</v>
      </c>
    </row>
    <row r="347" spans="1:23" x14ac:dyDescent="0.3">
      <c r="A347">
        <v>3145127</v>
      </c>
      <c r="B347">
        <v>17.22</v>
      </c>
      <c r="C347" t="s">
        <v>694</v>
      </c>
      <c r="D347" t="s">
        <v>138</v>
      </c>
      <c r="E347" t="s">
        <v>23</v>
      </c>
      <c r="F347" t="s">
        <v>28</v>
      </c>
      <c r="G347">
        <v>2015</v>
      </c>
      <c r="H347" t="s">
        <v>34</v>
      </c>
      <c r="K347" t="s">
        <v>25</v>
      </c>
      <c r="L347" t="s">
        <v>26</v>
      </c>
      <c r="M347" t="b">
        <v>1</v>
      </c>
      <c r="N347" t="s">
        <v>692</v>
      </c>
      <c r="P347" t="s">
        <v>695</v>
      </c>
      <c r="Q347" t="b">
        <v>1</v>
      </c>
      <c r="S347" t="str">
        <f>"9780310716969"</f>
        <v>9780310716969</v>
      </c>
      <c r="T347" t="str">
        <f>"9780310754336"</f>
        <v>9780310754336</v>
      </c>
      <c r="U347" t="b">
        <v>0</v>
      </c>
      <c r="W347" t="b">
        <v>0</v>
      </c>
    </row>
    <row r="348" spans="1:23" x14ac:dyDescent="0.3">
      <c r="A348">
        <v>3145124</v>
      </c>
      <c r="B348">
        <v>17.73</v>
      </c>
      <c r="C348" t="s">
        <v>696</v>
      </c>
      <c r="D348" t="s">
        <v>697</v>
      </c>
      <c r="E348" t="s">
        <v>23</v>
      </c>
      <c r="F348" t="s">
        <v>28</v>
      </c>
      <c r="G348">
        <v>2012</v>
      </c>
      <c r="H348" t="s">
        <v>144</v>
      </c>
      <c r="K348" t="s">
        <v>25</v>
      </c>
      <c r="L348" t="s">
        <v>145</v>
      </c>
      <c r="M348" t="b">
        <v>1</v>
      </c>
      <c r="N348" t="s">
        <v>146</v>
      </c>
      <c r="P348" t="s">
        <v>147</v>
      </c>
      <c r="Q348" t="b">
        <v>0</v>
      </c>
      <c r="T348" t="str">
        <f>"9780310733546"</f>
        <v>9780310733546</v>
      </c>
      <c r="U348" t="b">
        <v>0</v>
      </c>
      <c r="W348" t="b">
        <v>0</v>
      </c>
    </row>
    <row r="349" spans="1:23" x14ac:dyDescent="0.3">
      <c r="A349">
        <v>3145123</v>
      </c>
      <c r="B349">
        <v>51.72</v>
      </c>
      <c r="C349" t="s">
        <v>698</v>
      </c>
      <c r="E349" t="s">
        <v>23</v>
      </c>
      <c r="F349" t="s">
        <v>28</v>
      </c>
      <c r="G349">
        <v>2016</v>
      </c>
      <c r="H349" t="s">
        <v>214</v>
      </c>
      <c r="K349" t="s">
        <v>25</v>
      </c>
      <c r="L349" t="s">
        <v>26</v>
      </c>
      <c r="M349" t="b">
        <v>1</v>
      </c>
      <c r="N349" t="s">
        <v>540</v>
      </c>
      <c r="P349" t="s">
        <v>541</v>
      </c>
      <c r="Q349" t="b">
        <v>1</v>
      </c>
      <c r="S349" t="str">
        <f>"9780310716396"</f>
        <v>9780310716396</v>
      </c>
      <c r="T349" t="str">
        <f>"9780310756859"</f>
        <v>9780310756859</v>
      </c>
      <c r="U349" t="b">
        <v>0</v>
      </c>
      <c r="W349" t="b">
        <v>0</v>
      </c>
    </row>
    <row r="350" spans="1:23" x14ac:dyDescent="0.3">
      <c r="A350">
        <v>3145122</v>
      </c>
      <c r="B350">
        <v>51.72</v>
      </c>
      <c r="C350" t="s">
        <v>699</v>
      </c>
      <c r="E350" t="s">
        <v>23</v>
      </c>
      <c r="F350" t="s">
        <v>28</v>
      </c>
      <c r="G350">
        <v>2016</v>
      </c>
      <c r="H350" t="s">
        <v>41</v>
      </c>
      <c r="K350" t="s">
        <v>25</v>
      </c>
      <c r="L350" t="s">
        <v>26</v>
      </c>
      <c r="M350" t="b">
        <v>1</v>
      </c>
      <c r="N350" t="s">
        <v>540</v>
      </c>
      <c r="P350" t="s">
        <v>541</v>
      </c>
      <c r="Q350" t="b">
        <v>1</v>
      </c>
      <c r="S350" t="str">
        <f>"9780310716402"</f>
        <v>9780310716402</v>
      </c>
      <c r="T350" t="str">
        <f>"9780310756767"</f>
        <v>9780310756767</v>
      </c>
      <c r="U350" t="b">
        <v>0</v>
      </c>
      <c r="W350" t="b">
        <v>0</v>
      </c>
    </row>
    <row r="351" spans="1:23" x14ac:dyDescent="0.3">
      <c r="A351">
        <v>3145116</v>
      </c>
      <c r="B351">
        <v>55.17</v>
      </c>
      <c r="C351" t="s">
        <v>700</v>
      </c>
      <c r="E351" t="s">
        <v>23</v>
      </c>
      <c r="F351" t="s">
        <v>28</v>
      </c>
      <c r="G351">
        <v>2016</v>
      </c>
      <c r="H351" t="s">
        <v>41</v>
      </c>
      <c r="K351" t="s">
        <v>25</v>
      </c>
      <c r="L351" t="s">
        <v>26</v>
      </c>
      <c r="M351" t="b">
        <v>1</v>
      </c>
      <c r="N351" t="s">
        <v>31</v>
      </c>
      <c r="Q351" t="b">
        <v>1</v>
      </c>
      <c r="S351" t="str">
        <f>"9780310716457"</f>
        <v>9780310716457</v>
      </c>
      <c r="T351" t="str">
        <f>"9780310755135"</f>
        <v>9780310755135</v>
      </c>
      <c r="U351" t="b">
        <v>0</v>
      </c>
      <c r="W351" t="b">
        <v>0</v>
      </c>
    </row>
    <row r="352" spans="1:23" x14ac:dyDescent="0.3">
      <c r="A352">
        <v>3127403</v>
      </c>
      <c r="B352">
        <v>24.84</v>
      </c>
      <c r="C352" t="s">
        <v>722</v>
      </c>
      <c r="D352" t="s">
        <v>723</v>
      </c>
      <c r="E352" t="s">
        <v>23</v>
      </c>
      <c r="F352" t="s">
        <v>28</v>
      </c>
      <c r="G352">
        <v>2012</v>
      </c>
      <c r="H352" t="s">
        <v>168</v>
      </c>
      <c r="K352" t="s">
        <v>25</v>
      </c>
      <c r="L352" t="s">
        <v>30</v>
      </c>
      <c r="M352" t="b">
        <v>1</v>
      </c>
      <c r="N352" t="s">
        <v>724</v>
      </c>
      <c r="P352" t="s">
        <v>84</v>
      </c>
      <c r="Q352" t="b">
        <v>0</v>
      </c>
      <c r="T352" t="str">
        <f>"9780310726982"</f>
        <v>9780310726982</v>
      </c>
      <c r="U352" t="b">
        <v>0</v>
      </c>
      <c r="W352" t="b">
        <v>0</v>
      </c>
    </row>
    <row r="353" spans="1:23" x14ac:dyDescent="0.3">
      <c r="A353">
        <v>3118749</v>
      </c>
      <c r="B353">
        <v>93.12</v>
      </c>
      <c r="C353" t="s">
        <v>725</v>
      </c>
      <c r="D353" t="s">
        <v>726</v>
      </c>
      <c r="E353" t="s">
        <v>23</v>
      </c>
      <c r="F353" t="s">
        <v>44</v>
      </c>
      <c r="G353">
        <v>2022</v>
      </c>
      <c r="H353" t="s">
        <v>60</v>
      </c>
      <c r="K353" t="s">
        <v>25</v>
      </c>
      <c r="L353" t="s">
        <v>26</v>
      </c>
      <c r="M353" t="b">
        <v>1</v>
      </c>
      <c r="N353" t="s">
        <v>727</v>
      </c>
      <c r="Q353" t="b">
        <v>0</v>
      </c>
      <c r="S353" t="str">
        <f>"9780310366072"</f>
        <v>9780310366072</v>
      </c>
      <c r="T353" t="str">
        <f>"9780310366089"</f>
        <v>9780310366089</v>
      </c>
      <c r="U353" t="b">
        <v>0</v>
      </c>
      <c r="W353" t="b">
        <v>0</v>
      </c>
    </row>
    <row r="354" spans="1:23" x14ac:dyDescent="0.3">
      <c r="A354">
        <v>3116106</v>
      </c>
      <c r="B354">
        <v>224.22</v>
      </c>
      <c r="C354" t="s">
        <v>745</v>
      </c>
      <c r="E354" t="s">
        <v>23</v>
      </c>
      <c r="F354" t="s">
        <v>44</v>
      </c>
      <c r="G354">
        <v>2022</v>
      </c>
      <c r="H354" t="s">
        <v>746</v>
      </c>
      <c r="K354" t="s">
        <v>25</v>
      </c>
      <c r="L354" t="s">
        <v>26</v>
      </c>
      <c r="M354" t="b">
        <v>1</v>
      </c>
      <c r="N354" t="s">
        <v>44</v>
      </c>
      <c r="Q354" t="b">
        <v>0</v>
      </c>
      <c r="S354" t="str">
        <f>"9780310461494"</f>
        <v>9780310461494</v>
      </c>
      <c r="T354" t="str">
        <f>"9780310461517"</f>
        <v>9780310461517</v>
      </c>
      <c r="U354" t="b">
        <v>0</v>
      </c>
      <c r="W354" t="b">
        <v>0</v>
      </c>
    </row>
    <row r="355" spans="1:23" x14ac:dyDescent="0.3">
      <c r="A355">
        <v>3116105</v>
      </c>
      <c r="B355">
        <v>103.47</v>
      </c>
      <c r="C355" t="s">
        <v>747</v>
      </c>
      <c r="E355" t="s">
        <v>23</v>
      </c>
      <c r="F355" t="s">
        <v>44</v>
      </c>
      <c r="G355">
        <v>2022</v>
      </c>
      <c r="H355" t="s">
        <v>748</v>
      </c>
      <c r="K355" t="s">
        <v>25</v>
      </c>
      <c r="L355" t="s">
        <v>26</v>
      </c>
      <c r="M355" t="b">
        <v>1</v>
      </c>
      <c r="N355" t="s">
        <v>44</v>
      </c>
      <c r="Q355" t="b">
        <v>0</v>
      </c>
      <c r="S355" t="str">
        <f>"9780310455882"</f>
        <v>9780310455882</v>
      </c>
      <c r="T355" t="str">
        <f>"9780310455875"</f>
        <v>9780310455875</v>
      </c>
      <c r="U355" t="b">
        <v>0</v>
      </c>
      <c r="W355" t="b">
        <v>0</v>
      </c>
    </row>
    <row r="356" spans="1:23" x14ac:dyDescent="0.3">
      <c r="A356">
        <v>3116104</v>
      </c>
      <c r="B356">
        <v>100.02</v>
      </c>
      <c r="C356" t="s">
        <v>749</v>
      </c>
      <c r="D356" t="s">
        <v>750</v>
      </c>
      <c r="E356" t="s">
        <v>23</v>
      </c>
      <c r="F356" t="s">
        <v>44</v>
      </c>
      <c r="G356">
        <v>2022</v>
      </c>
      <c r="H356" t="s">
        <v>751</v>
      </c>
      <c r="K356" t="s">
        <v>25</v>
      </c>
      <c r="L356" t="s">
        <v>26</v>
      </c>
      <c r="M356" t="b">
        <v>1</v>
      </c>
      <c r="N356" t="s">
        <v>752</v>
      </c>
      <c r="Q356" t="b">
        <v>0</v>
      </c>
      <c r="S356" t="str">
        <f>"9780310362838"</f>
        <v>9780310362838</v>
      </c>
      <c r="T356" t="str">
        <f>"9780310362845"</f>
        <v>9780310362845</v>
      </c>
      <c r="U356" t="b">
        <v>0</v>
      </c>
      <c r="W356" t="b">
        <v>0</v>
      </c>
    </row>
    <row r="357" spans="1:23" x14ac:dyDescent="0.3">
      <c r="A357">
        <v>3116103</v>
      </c>
      <c r="B357">
        <v>51.72</v>
      </c>
      <c r="C357" t="s">
        <v>753</v>
      </c>
      <c r="D357" t="s">
        <v>754</v>
      </c>
      <c r="E357" t="s">
        <v>23</v>
      </c>
      <c r="F357" t="s">
        <v>44</v>
      </c>
      <c r="G357">
        <v>2021</v>
      </c>
      <c r="H357" t="s">
        <v>58</v>
      </c>
      <c r="K357" t="s">
        <v>25</v>
      </c>
      <c r="L357" t="s">
        <v>26</v>
      </c>
      <c r="M357" t="b">
        <v>1</v>
      </c>
      <c r="N357" t="s">
        <v>755</v>
      </c>
      <c r="Q357" t="b">
        <v>0</v>
      </c>
      <c r="S357" t="str">
        <f>"9780310139089"</f>
        <v>9780310139089</v>
      </c>
      <c r="T357" t="str">
        <f>"9780310139096"</f>
        <v>9780310139096</v>
      </c>
      <c r="U357" t="b">
        <v>0</v>
      </c>
      <c r="W357" t="b">
        <v>0</v>
      </c>
    </row>
    <row r="358" spans="1:23" x14ac:dyDescent="0.3">
      <c r="A358">
        <v>3116097</v>
      </c>
      <c r="B358">
        <v>65.52</v>
      </c>
      <c r="C358" t="s">
        <v>757</v>
      </c>
      <c r="D358" t="s">
        <v>758</v>
      </c>
      <c r="E358" t="s">
        <v>23</v>
      </c>
      <c r="F358" t="s">
        <v>44</v>
      </c>
      <c r="G358">
        <v>2022</v>
      </c>
      <c r="H358" t="s">
        <v>759</v>
      </c>
      <c r="K358" t="s">
        <v>25</v>
      </c>
      <c r="L358" t="s">
        <v>26</v>
      </c>
      <c r="M358" t="b">
        <v>1</v>
      </c>
      <c r="N358" t="s">
        <v>760</v>
      </c>
      <c r="Q358" t="b">
        <v>0</v>
      </c>
      <c r="S358" t="str">
        <f>"9780310538882"</f>
        <v>9780310538882</v>
      </c>
      <c r="T358" t="str">
        <f>"9780310538899"</f>
        <v>9780310538899</v>
      </c>
      <c r="U358" t="b">
        <v>0</v>
      </c>
      <c r="W358" t="b">
        <v>0</v>
      </c>
    </row>
    <row r="359" spans="1:23" x14ac:dyDescent="0.3">
      <c r="A359">
        <v>3116096</v>
      </c>
      <c r="B359">
        <v>172.47</v>
      </c>
      <c r="C359" t="s">
        <v>761</v>
      </c>
      <c r="E359" t="s">
        <v>23</v>
      </c>
      <c r="F359" t="s">
        <v>44</v>
      </c>
      <c r="G359">
        <v>2022</v>
      </c>
      <c r="H359" t="s">
        <v>746</v>
      </c>
      <c r="K359" t="s">
        <v>25</v>
      </c>
      <c r="L359" t="s">
        <v>26</v>
      </c>
      <c r="M359" t="b">
        <v>1</v>
      </c>
      <c r="N359" t="s">
        <v>44</v>
      </c>
      <c r="Q359" t="b">
        <v>0</v>
      </c>
      <c r="S359" t="str">
        <f>"9780310461432"</f>
        <v>9780310461432</v>
      </c>
      <c r="T359" t="str">
        <f>"9780310461456"</f>
        <v>9780310461456</v>
      </c>
      <c r="U359" t="b">
        <v>0</v>
      </c>
      <c r="W359" t="b">
        <v>0</v>
      </c>
    </row>
    <row r="360" spans="1:23" x14ac:dyDescent="0.3">
      <c r="A360">
        <v>3116094</v>
      </c>
      <c r="B360">
        <v>86.22</v>
      </c>
      <c r="C360" t="s">
        <v>762</v>
      </c>
      <c r="D360" t="s">
        <v>763</v>
      </c>
      <c r="E360" t="s">
        <v>23</v>
      </c>
      <c r="F360" t="s">
        <v>44</v>
      </c>
      <c r="G360">
        <v>2022</v>
      </c>
      <c r="H360" t="s">
        <v>62</v>
      </c>
      <c r="K360" t="s">
        <v>25</v>
      </c>
      <c r="L360" t="s">
        <v>26</v>
      </c>
      <c r="M360" t="b">
        <v>1</v>
      </c>
      <c r="N360" t="s">
        <v>764</v>
      </c>
      <c r="Q360" t="b">
        <v>0</v>
      </c>
      <c r="S360" t="str">
        <f>"9780310365075"</f>
        <v>9780310365075</v>
      </c>
      <c r="T360" t="str">
        <f>"9780310365082"</f>
        <v>9780310365082</v>
      </c>
      <c r="U360" t="b">
        <v>0</v>
      </c>
      <c r="W360" t="b">
        <v>0</v>
      </c>
    </row>
    <row r="361" spans="1:23" x14ac:dyDescent="0.3">
      <c r="A361">
        <v>3116093</v>
      </c>
      <c r="B361">
        <v>65.52</v>
      </c>
      <c r="C361" t="s">
        <v>765</v>
      </c>
      <c r="D361" t="s">
        <v>766</v>
      </c>
      <c r="E361" t="s">
        <v>23</v>
      </c>
      <c r="F361" t="s">
        <v>44</v>
      </c>
      <c r="G361">
        <v>2022</v>
      </c>
      <c r="H361" t="s">
        <v>107</v>
      </c>
      <c r="K361" t="s">
        <v>25</v>
      </c>
      <c r="L361" t="s">
        <v>26</v>
      </c>
      <c r="M361" t="b">
        <v>1</v>
      </c>
      <c r="N361" t="s">
        <v>767</v>
      </c>
      <c r="Q361" t="b">
        <v>0</v>
      </c>
      <c r="S361" t="str">
        <f>"9780310365013"</f>
        <v>9780310365013</v>
      </c>
      <c r="T361" t="str">
        <f>"9780310365020"</f>
        <v>9780310365020</v>
      </c>
      <c r="U361" t="b">
        <v>0</v>
      </c>
      <c r="W361" t="b">
        <v>0</v>
      </c>
    </row>
    <row r="362" spans="1:23" x14ac:dyDescent="0.3">
      <c r="A362">
        <v>3116091</v>
      </c>
      <c r="B362">
        <v>93.12</v>
      </c>
      <c r="C362" t="s">
        <v>768</v>
      </c>
      <c r="D362" t="s">
        <v>769</v>
      </c>
      <c r="E362" t="s">
        <v>23</v>
      </c>
      <c r="F362" t="s">
        <v>44</v>
      </c>
      <c r="G362">
        <v>2022</v>
      </c>
      <c r="H362" t="s">
        <v>58</v>
      </c>
      <c r="K362" t="s">
        <v>25</v>
      </c>
      <c r="L362" t="s">
        <v>26</v>
      </c>
      <c r="M362" t="b">
        <v>1</v>
      </c>
      <c r="N362" t="s">
        <v>770</v>
      </c>
      <c r="Q362" t="b">
        <v>0</v>
      </c>
      <c r="S362" t="str">
        <f>"9780310364696"</f>
        <v>9780310364696</v>
      </c>
      <c r="T362" t="str">
        <f>"9780310364719"</f>
        <v>9780310364719</v>
      </c>
      <c r="U362" t="b">
        <v>0</v>
      </c>
      <c r="W362" t="b">
        <v>0</v>
      </c>
    </row>
    <row r="363" spans="1:23" x14ac:dyDescent="0.3">
      <c r="A363">
        <v>3116090</v>
      </c>
      <c r="B363">
        <v>58.62</v>
      </c>
      <c r="C363" t="s">
        <v>771</v>
      </c>
      <c r="E363" t="s">
        <v>23</v>
      </c>
      <c r="F363" t="s">
        <v>44</v>
      </c>
      <c r="G363">
        <v>2022</v>
      </c>
      <c r="H363" t="s">
        <v>772</v>
      </c>
      <c r="K363" t="s">
        <v>25</v>
      </c>
      <c r="L363" t="s">
        <v>26</v>
      </c>
      <c r="M363" t="b">
        <v>1</v>
      </c>
      <c r="N363" t="s">
        <v>773</v>
      </c>
      <c r="P363" t="s">
        <v>774</v>
      </c>
      <c r="Q363" t="b">
        <v>1</v>
      </c>
      <c r="S363" t="str">
        <f>"9780310364528"</f>
        <v>9780310364528</v>
      </c>
      <c r="T363" t="str">
        <f>"9780310364535"</f>
        <v>9780310364535</v>
      </c>
      <c r="U363" t="b">
        <v>0</v>
      </c>
      <c r="W363" t="b">
        <v>0</v>
      </c>
    </row>
    <row r="364" spans="1:23" x14ac:dyDescent="0.3">
      <c r="A364">
        <v>3116089</v>
      </c>
      <c r="B364">
        <v>58.62</v>
      </c>
      <c r="C364" t="s">
        <v>775</v>
      </c>
      <c r="E364" t="s">
        <v>23</v>
      </c>
      <c r="F364" t="s">
        <v>44</v>
      </c>
      <c r="G364">
        <v>2022</v>
      </c>
      <c r="H364" t="s">
        <v>772</v>
      </c>
      <c r="K364" t="s">
        <v>25</v>
      </c>
      <c r="L364" t="s">
        <v>26</v>
      </c>
      <c r="M364" t="b">
        <v>1</v>
      </c>
      <c r="N364" t="s">
        <v>776</v>
      </c>
      <c r="P364" t="s">
        <v>777</v>
      </c>
      <c r="Q364" t="b">
        <v>1</v>
      </c>
      <c r="S364" t="str">
        <f>"9780310364351"</f>
        <v>9780310364351</v>
      </c>
      <c r="T364" t="str">
        <f>"9780310364368"</f>
        <v>9780310364368</v>
      </c>
      <c r="U364" t="b">
        <v>0</v>
      </c>
      <c r="W364" t="b">
        <v>0</v>
      </c>
    </row>
    <row r="365" spans="1:23" x14ac:dyDescent="0.3">
      <c r="A365">
        <v>3116088</v>
      </c>
      <c r="B365">
        <v>93.12</v>
      </c>
      <c r="C365" t="s">
        <v>778</v>
      </c>
      <c r="D365" t="s">
        <v>779</v>
      </c>
      <c r="E365" t="s">
        <v>23</v>
      </c>
      <c r="F365" t="s">
        <v>44</v>
      </c>
      <c r="G365">
        <v>2022</v>
      </c>
      <c r="H365" t="s">
        <v>780</v>
      </c>
      <c r="K365" t="s">
        <v>25</v>
      </c>
      <c r="L365" t="s">
        <v>26</v>
      </c>
      <c r="M365" t="b">
        <v>1</v>
      </c>
      <c r="N365" t="s">
        <v>781</v>
      </c>
      <c r="Q365" t="b">
        <v>0</v>
      </c>
      <c r="S365" t="str">
        <f>"9780310363651"</f>
        <v>9780310363651</v>
      </c>
      <c r="T365" t="str">
        <f>"9780310363668"</f>
        <v>9780310363668</v>
      </c>
      <c r="U365" t="b">
        <v>0</v>
      </c>
      <c r="W365" t="b">
        <v>0</v>
      </c>
    </row>
    <row r="366" spans="1:23" x14ac:dyDescent="0.3">
      <c r="A366">
        <v>3116087</v>
      </c>
      <c r="B366">
        <v>65.52</v>
      </c>
      <c r="C366" t="s">
        <v>782</v>
      </c>
      <c r="D366" t="s">
        <v>783</v>
      </c>
      <c r="E366" t="s">
        <v>23</v>
      </c>
      <c r="F366" t="s">
        <v>44</v>
      </c>
      <c r="G366">
        <v>2022</v>
      </c>
      <c r="H366" t="s">
        <v>58</v>
      </c>
      <c r="K366" t="s">
        <v>25</v>
      </c>
      <c r="L366" t="s">
        <v>26</v>
      </c>
      <c r="M366" t="b">
        <v>1</v>
      </c>
      <c r="N366" t="s">
        <v>784</v>
      </c>
      <c r="Q366" t="b">
        <v>0</v>
      </c>
      <c r="S366" t="str">
        <f>"9780310363446"</f>
        <v>9780310363446</v>
      </c>
      <c r="T366" t="str">
        <f>"9780310363453"</f>
        <v>9780310363453</v>
      </c>
      <c r="U366" t="b">
        <v>0</v>
      </c>
      <c r="W366" t="b">
        <v>0</v>
      </c>
    </row>
    <row r="367" spans="1:23" x14ac:dyDescent="0.3">
      <c r="A367">
        <v>3116086</v>
      </c>
      <c r="B367">
        <v>65.52</v>
      </c>
      <c r="C367" t="s">
        <v>785</v>
      </c>
      <c r="D367" t="s">
        <v>786</v>
      </c>
      <c r="E367" t="s">
        <v>23</v>
      </c>
      <c r="F367" t="s">
        <v>44</v>
      </c>
      <c r="G367">
        <v>2022</v>
      </c>
      <c r="H367" t="s">
        <v>115</v>
      </c>
      <c r="I367" t="s">
        <v>787</v>
      </c>
      <c r="J367" t="s">
        <v>788</v>
      </c>
      <c r="K367" t="s">
        <v>25</v>
      </c>
      <c r="L367" t="s">
        <v>26</v>
      </c>
      <c r="M367" t="b">
        <v>1</v>
      </c>
      <c r="N367" t="s">
        <v>789</v>
      </c>
      <c r="O367" t="str">
        <f>"230/.046"</f>
        <v>230/.046</v>
      </c>
      <c r="Q367" t="b">
        <v>0</v>
      </c>
      <c r="S367" t="str">
        <f>"9780310139430"</f>
        <v>9780310139430</v>
      </c>
      <c r="T367" t="str">
        <f>"9780310139447"</f>
        <v>9780310139447</v>
      </c>
      <c r="U367" t="b">
        <v>0</v>
      </c>
      <c r="W367" t="b">
        <v>0</v>
      </c>
    </row>
    <row r="368" spans="1:23" x14ac:dyDescent="0.3">
      <c r="A368">
        <v>3116085</v>
      </c>
      <c r="B368">
        <v>65.52</v>
      </c>
      <c r="C368" t="s">
        <v>790</v>
      </c>
      <c r="D368" t="s">
        <v>791</v>
      </c>
      <c r="E368" t="s">
        <v>23</v>
      </c>
      <c r="F368" t="s">
        <v>44</v>
      </c>
      <c r="G368">
        <v>2022</v>
      </c>
      <c r="H368" t="s">
        <v>45</v>
      </c>
      <c r="K368" t="s">
        <v>25</v>
      </c>
      <c r="L368" t="s">
        <v>26</v>
      </c>
      <c r="M368" t="b">
        <v>1</v>
      </c>
      <c r="N368" t="s">
        <v>792</v>
      </c>
      <c r="Q368" t="b">
        <v>0</v>
      </c>
      <c r="S368" t="str">
        <f>"9780310139409"</f>
        <v>9780310139409</v>
      </c>
      <c r="T368" t="str">
        <f>"9780310139416"</f>
        <v>9780310139416</v>
      </c>
      <c r="U368" t="b">
        <v>0</v>
      </c>
      <c r="W368" t="b">
        <v>0</v>
      </c>
    </row>
    <row r="369" spans="1:23" x14ac:dyDescent="0.3">
      <c r="A369">
        <v>3116084</v>
      </c>
      <c r="B369">
        <v>79.319999999999993</v>
      </c>
      <c r="C369" t="s">
        <v>793</v>
      </c>
      <c r="D369" t="s">
        <v>794</v>
      </c>
      <c r="E369" t="s">
        <v>23</v>
      </c>
      <c r="F369" t="s">
        <v>44</v>
      </c>
      <c r="G369">
        <v>2022</v>
      </c>
      <c r="H369" t="s">
        <v>759</v>
      </c>
      <c r="K369" t="s">
        <v>25</v>
      </c>
      <c r="L369" t="s">
        <v>26</v>
      </c>
      <c r="M369" t="b">
        <v>1</v>
      </c>
      <c r="N369" t="s">
        <v>795</v>
      </c>
      <c r="Q369" t="b">
        <v>0</v>
      </c>
      <c r="S369" t="str">
        <f>"9780310138921"</f>
        <v>9780310138921</v>
      </c>
      <c r="T369" t="str">
        <f>"9780310138938"</f>
        <v>9780310138938</v>
      </c>
      <c r="U369" t="b">
        <v>0</v>
      </c>
      <c r="W369" t="b">
        <v>0</v>
      </c>
    </row>
    <row r="370" spans="1:23" x14ac:dyDescent="0.3">
      <c r="A370">
        <v>3116083</v>
      </c>
      <c r="B370">
        <v>79.319999999999993</v>
      </c>
      <c r="C370" t="s">
        <v>796</v>
      </c>
      <c r="D370" t="s">
        <v>797</v>
      </c>
      <c r="E370" t="s">
        <v>23</v>
      </c>
      <c r="F370" t="s">
        <v>44</v>
      </c>
      <c r="G370">
        <v>2022</v>
      </c>
      <c r="H370" t="s">
        <v>58</v>
      </c>
      <c r="K370" t="s">
        <v>25</v>
      </c>
      <c r="L370" t="s">
        <v>26</v>
      </c>
      <c r="M370" t="b">
        <v>1</v>
      </c>
      <c r="N370" t="s">
        <v>798</v>
      </c>
      <c r="Q370" t="b">
        <v>0</v>
      </c>
      <c r="S370" t="str">
        <f>"9780310124160"</f>
        <v>9780310124160</v>
      </c>
      <c r="T370" t="str">
        <f>"9780310124177"</f>
        <v>9780310124177</v>
      </c>
      <c r="U370" t="b">
        <v>0</v>
      </c>
      <c r="W370" t="b">
        <v>0</v>
      </c>
    </row>
    <row r="371" spans="1:23" x14ac:dyDescent="0.3">
      <c r="A371">
        <v>3116082</v>
      </c>
      <c r="B371">
        <v>79.319999999999993</v>
      </c>
      <c r="C371" t="s">
        <v>799</v>
      </c>
      <c r="D371" t="s">
        <v>800</v>
      </c>
      <c r="E371" t="s">
        <v>23</v>
      </c>
      <c r="F371" t="s">
        <v>44</v>
      </c>
      <c r="G371">
        <v>2022</v>
      </c>
      <c r="H371" t="s">
        <v>58</v>
      </c>
      <c r="K371" t="s">
        <v>25</v>
      </c>
      <c r="L371" t="s">
        <v>26</v>
      </c>
      <c r="M371" t="b">
        <v>1</v>
      </c>
      <c r="N371" t="s">
        <v>801</v>
      </c>
      <c r="Q371" t="b">
        <v>0</v>
      </c>
      <c r="S371" t="str">
        <f>"9780310122210"</f>
        <v>9780310122210</v>
      </c>
      <c r="T371" t="str">
        <f>"9780310123156"</f>
        <v>9780310123156</v>
      </c>
      <c r="U371" t="b">
        <v>0</v>
      </c>
      <c r="W371" t="b">
        <v>0</v>
      </c>
    </row>
    <row r="372" spans="1:23" x14ac:dyDescent="0.3">
      <c r="A372">
        <v>3116081</v>
      </c>
      <c r="B372">
        <v>103.47</v>
      </c>
      <c r="C372" t="s">
        <v>802</v>
      </c>
      <c r="D372" t="s">
        <v>803</v>
      </c>
      <c r="E372" t="s">
        <v>23</v>
      </c>
      <c r="F372" t="s">
        <v>44</v>
      </c>
      <c r="G372">
        <v>2022</v>
      </c>
      <c r="H372" t="s">
        <v>804</v>
      </c>
      <c r="K372" t="s">
        <v>25</v>
      </c>
      <c r="L372" t="s">
        <v>26</v>
      </c>
      <c r="M372" t="b">
        <v>1</v>
      </c>
      <c r="N372" t="s">
        <v>805</v>
      </c>
      <c r="Q372" t="b">
        <v>0</v>
      </c>
      <c r="S372" t="str">
        <f>"9780310120872"</f>
        <v>9780310120872</v>
      </c>
      <c r="T372" t="str">
        <f>"9780310120889"</f>
        <v>9780310120889</v>
      </c>
      <c r="U372" t="b">
        <v>0</v>
      </c>
      <c r="W372" t="b">
        <v>0</v>
      </c>
    </row>
    <row r="373" spans="1:23" x14ac:dyDescent="0.3">
      <c r="A373">
        <v>3116080</v>
      </c>
      <c r="B373">
        <v>65.52</v>
      </c>
      <c r="C373" t="s">
        <v>806</v>
      </c>
      <c r="D373" t="s">
        <v>807</v>
      </c>
      <c r="E373" t="s">
        <v>23</v>
      </c>
      <c r="F373" t="s">
        <v>44</v>
      </c>
      <c r="G373">
        <v>2022</v>
      </c>
      <c r="H373" t="s">
        <v>99</v>
      </c>
      <c r="K373" t="s">
        <v>25</v>
      </c>
      <c r="L373" t="s">
        <v>26</v>
      </c>
      <c r="M373" t="b">
        <v>1</v>
      </c>
      <c r="N373" t="s">
        <v>808</v>
      </c>
      <c r="Q373" t="b">
        <v>0</v>
      </c>
      <c r="S373" t="str">
        <f>"9780310119449"</f>
        <v>9780310119449</v>
      </c>
      <c r="T373" t="str">
        <f>"9780310119456"</f>
        <v>9780310119456</v>
      </c>
      <c r="U373" t="b">
        <v>0</v>
      </c>
      <c r="W373" t="b">
        <v>0</v>
      </c>
    </row>
    <row r="374" spans="1:23" x14ac:dyDescent="0.3">
      <c r="A374">
        <v>3116079</v>
      </c>
      <c r="B374">
        <v>103.47</v>
      </c>
      <c r="C374" t="s">
        <v>809</v>
      </c>
      <c r="D374" t="s">
        <v>810</v>
      </c>
      <c r="E374" t="s">
        <v>23</v>
      </c>
      <c r="F374" t="s">
        <v>106</v>
      </c>
      <c r="G374">
        <v>2022</v>
      </c>
      <c r="H374" t="s">
        <v>115</v>
      </c>
      <c r="I374" t="s">
        <v>811</v>
      </c>
      <c r="J374" t="s">
        <v>812</v>
      </c>
      <c r="K374" t="s">
        <v>25</v>
      </c>
      <c r="L374" t="s">
        <v>26</v>
      </c>
      <c r="M374" t="b">
        <v>1</v>
      </c>
      <c r="N374" t="s">
        <v>813</v>
      </c>
      <c r="O374" t="str">
        <f>"230/.041"</f>
        <v>230/.041</v>
      </c>
      <c r="P374" t="s">
        <v>814</v>
      </c>
      <c r="Q374" t="b">
        <v>0</v>
      </c>
      <c r="S374" t="str">
        <f>"9780310125679"</f>
        <v>9780310125679</v>
      </c>
      <c r="T374" t="str">
        <f>"9780310125686"</f>
        <v>9780310125686</v>
      </c>
      <c r="U374" t="b">
        <v>0</v>
      </c>
      <c r="W374" t="b">
        <v>0</v>
      </c>
    </row>
    <row r="375" spans="1:23" x14ac:dyDescent="0.3">
      <c r="A375">
        <v>3116077</v>
      </c>
      <c r="B375">
        <v>79.319999999999993</v>
      </c>
      <c r="C375" t="s">
        <v>815</v>
      </c>
      <c r="D375" t="s">
        <v>816</v>
      </c>
      <c r="E375" t="s">
        <v>23</v>
      </c>
      <c r="F375" t="s">
        <v>106</v>
      </c>
      <c r="G375">
        <v>2022</v>
      </c>
      <c r="H375" t="s">
        <v>817</v>
      </c>
      <c r="I375" t="s">
        <v>818</v>
      </c>
      <c r="K375" t="s">
        <v>25</v>
      </c>
      <c r="L375" t="s">
        <v>26</v>
      </c>
      <c r="M375" t="b">
        <v>1</v>
      </c>
      <c r="N375" t="s">
        <v>819</v>
      </c>
      <c r="O375" t="str">
        <f>"224/.906"</f>
        <v>224/.906</v>
      </c>
      <c r="Q375" t="b">
        <v>0</v>
      </c>
      <c r="S375" t="str">
        <f>"9780310125570"</f>
        <v>9780310125570</v>
      </c>
      <c r="T375" t="str">
        <f>"9780310125587"</f>
        <v>9780310125587</v>
      </c>
      <c r="U375" t="b">
        <v>0</v>
      </c>
      <c r="W375" t="b">
        <v>0</v>
      </c>
    </row>
    <row r="376" spans="1:23" x14ac:dyDescent="0.3">
      <c r="A376">
        <v>3116075</v>
      </c>
      <c r="B376">
        <v>120.72</v>
      </c>
      <c r="C376" t="s">
        <v>820</v>
      </c>
      <c r="D376" t="s">
        <v>821</v>
      </c>
      <c r="E376" t="s">
        <v>23</v>
      </c>
      <c r="F376" t="s">
        <v>106</v>
      </c>
      <c r="G376">
        <v>2022</v>
      </c>
      <c r="H376" t="s">
        <v>822</v>
      </c>
      <c r="K376" t="s">
        <v>25</v>
      </c>
      <c r="L376" t="s">
        <v>26</v>
      </c>
      <c r="M376" t="b">
        <v>1</v>
      </c>
      <c r="N376" t="s">
        <v>823</v>
      </c>
      <c r="Q376" t="b">
        <v>0</v>
      </c>
      <c r="S376" t="str">
        <f>"9780310124382"</f>
        <v>9780310124382</v>
      </c>
      <c r="T376" t="str">
        <f>"9780310124399"</f>
        <v>9780310124399</v>
      </c>
      <c r="U376" t="b">
        <v>0</v>
      </c>
      <c r="W376" t="b">
        <v>0</v>
      </c>
    </row>
    <row r="377" spans="1:23" x14ac:dyDescent="0.3">
      <c r="A377">
        <v>3116074</v>
      </c>
      <c r="B377">
        <v>103.47</v>
      </c>
      <c r="C377" t="s">
        <v>824</v>
      </c>
      <c r="D377" t="s">
        <v>825</v>
      </c>
      <c r="E377" t="s">
        <v>23</v>
      </c>
      <c r="F377" t="s">
        <v>106</v>
      </c>
      <c r="G377">
        <v>2022</v>
      </c>
      <c r="H377" t="s">
        <v>826</v>
      </c>
      <c r="K377" t="s">
        <v>25</v>
      </c>
      <c r="L377" t="s">
        <v>26</v>
      </c>
      <c r="M377" t="b">
        <v>1</v>
      </c>
      <c r="N377" t="s">
        <v>827</v>
      </c>
      <c r="Q377" t="b">
        <v>0</v>
      </c>
      <c r="S377" t="str">
        <f>"9780310113614"</f>
        <v>9780310113614</v>
      </c>
      <c r="T377" t="str">
        <f>"9780310113638"</f>
        <v>9780310113638</v>
      </c>
      <c r="U377" t="b">
        <v>0</v>
      </c>
      <c r="W377" t="b">
        <v>0</v>
      </c>
    </row>
    <row r="378" spans="1:23" x14ac:dyDescent="0.3">
      <c r="A378">
        <v>3116073</v>
      </c>
      <c r="B378">
        <v>68.97</v>
      </c>
      <c r="C378" t="s">
        <v>828</v>
      </c>
      <c r="D378" t="s">
        <v>829</v>
      </c>
      <c r="E378" t="s">
        <v>23</v>
      </c>
      <c r="F378" t="s">
        <v>106</v>
      </c>
      <c r="G378">
        <v>2022</v>
      </c>
      <c r="H378" t="s">
        <v>830</v>
      </c>
      <c r="K378" t="s">
        <v>25</v>
      </c>
      <c r="L378" t="s">
        <v>26</v>
      </c>
      <c r="M378" t="b">
        <v>1</v>
      </c>
      <c r="N378" t="s">
        <v>831</v>
      </c>
      <c r="Q378" t="b">
        <v>0</v>
      </c>
      <c r="S378" t="str">
        <f>"9780310109051"</f>
        <v>9780310109051</v>
      </c>
      <c r="T378" t="str">
        <f>"9780310109068"</f>
        <v>9780310109068</v>
      </c>
      <c r="U378" t="b">
        <v>0</v>
      </c>
      <c r="W378" t="b">
        <v>0</v>
      </c>
    </row>
    <row r="379" spans="1:23" x14ac:dyDescent="0.3">
      <c r="A379">
        <v>3116071</v>
      </c>
      <c r="B379">
        <v>58.62</v>
      </c>
      <c r="C379" t="s">
        <v>832</v>
      </c>
      <c r="D379" t="s">
        <v>833</v>
      </c>
      <c r="E379" t="s">
        <v>23</v>
      </c>
      <c r="F379" t="s">
        <v>28</v>
      </c>
      <c r="G379">
        <v>2022</v>
      </c>
      <c r="H379" t="s">
        <v>834</v>
      </c>
      <c r="K379" t="s">
        <v>25</v>
      </c>
      <c r="L379" t="s">
        <v>26</v>
      </c>
      <c r="M379" t="b">
        <v>1</v>
      </c>
      <c r="N379" t="s">
        <v>835</v>
      </c>
      <c r="Q379" t="b">
        <v>0</v>
      </c>
      <c r="S379" t="str">
        <f>"9780310751533"</f>
        <v>9780310751533</v>
      </c>
      <c r="T379" t="str">
        <f>"9780310751571"</f>
        <v>9780310751571</v>
      </c>
      <c r="U379" t="b">
        <v>0</v>
      </c>
      <c r="W379" t="b">
        <v>0</v>
      </c>
    </row>
    <row r="380" spans="1:23" x14ac:dyDescent="0.3">
      <c r="A380">
        <v>3116070</v>
      </c>
      <c r="B380">
        <v>39.049999999999997</v>
      </c>
      <c r="C380" t="s">
        <v>836</v>
      </c>
      <c r="E380" t="s">
        <v>23</v>
      </c>
      <c r="F380" t="s">
        <v>28</v>
      </c>
      <c r="G380">
        <v>2022</v>
      </c>
      <c r="H380" t="s">
        <v>168</v>
      </c>
      <c r="K380" t="s">
        <v>25</v>
      </c>
      <c r="L380" t="s">
        <v>26</v>
      </c>
      <c r="M380" t="b">
        <v>1</v>
      </c>
      <c r="N380" t="s">
        <v>837</v>
      </c>
      <c r="Q380" t="b">
        <v>0</v>
      </c>
      <c r="T380" t="str">
        <f>"9780310140658"</f>
        <v>9780310140658</v>
      </c>
      <c r="U380" t="b">
        <v>0</v>
      </c>
      <c r="W380" t="b">
        <v>0</v>
      </c>
    </row>
    <row r="381" spans="1:23" x14ac:dyDescent="0.3">
      <c r="A381">
        <v>3112409</v>
      </c>
      <c r="B381">
        <v>96.57</v>
      </c>
      <c r="C381" t="s">
        <v>840</v>
      </c>
      <c r="D381" t="s">
        <v>841</v>
      </c>
      <c r="E381" t="s">
        <v>23</v>
      </c>
      <c r="F381" t="s">
        <v>44</v>
      </c>
      <c r="G381">
        <v>2022</v>
      </c>
      <c r="H381" t="s">
        <v>842</v>
      </c>
      <c r="K381" t="s">
        <v>25</v>
      </c>
      <c r="L381" t="s">
        <v>26</v>
      </c>
      <c r="M381" t="b">
        <v>1</v>
      </c>
      <c r="N381" t="s">
        <v>843</v>
      </c>
      <c r="Q381" t="b">
        <v>0</v>
      </c>
      <c r="S381" t="str">
        <f>"9780310364856"</f>
        <v>9780310364856</v>
      </c>
      <c r="T381" t="str">
        <f>"9780310364863"</f>
        <v>9780310364863</v>
      </c>
      <c r="U381" t="b">
        <v>0</v>
      </c>
      <c r="W381" t="b">
        <v>0</v>
      </c>
    </row>
    <row r="382" spans="1:23" x14ac:dyDescent="0.3">
      <c r="A382">
        <v>3104746</v>
      </c>
      <c r="B382">
        <v>93.12</v>
      </c>
      <c r="C382" t="s">
        <v>844</v>
      </c>
      <c r="D382" t="s">
        <v>845</v>
      </c>
      <c r="E382" t="s">
        <v>23</v>
      </c>
      <c r="F382" t="s">
        <v>44</v>
      </c>
      <c r="G382">
        <v>2022</v>
      </c>
      <c r="H382" t="s">
        <v>58</v>
      </c>
      <c r="I382" t="s">
        <v>846</v>
      </c>
      <c r="J382" t="s">
        <v>847</v>
      </c>
      <c r="K382" t="s">
        <v>25</v>
      </c>
      <c r="L382" t="s">
        <v>26</v>
      </c>
      <c r="M382" t="b">
        <v>1</v>
      </c>
      <c r="N382" t="s">
        <v>848</v>
      </c>
      <c r="O382" t="str">
        <f>"820.9/382"</f>
        <v>820.9/382</v>
      </c>
      <c r="Q382" t="b">
        <v>0</v>
      </c>
      <c r="S382" t="str">
        <f>"9780310364610"</f>
        <v>9780310364610</v>
      </c>
      <c r="T382" t="str">
        <f>"9780310364627"</f>
        <v>9780310364627</v>
      </c>
      <c r="U382" t="b">
        <v>0</v>
      </c>
      <c r="W382" t="b">
        <v>0</v>
      </c>
    </row>
    <row r="383" spans="1:23" x14ac:dyDescent="0.3">
      <c r="A383">
        <v>3099706</v>
      </c>
      <c r="B383">
        <v>86.22</v>
      </c>
      <c r="C383" t="s">
        <v>853</v>
      </c>
      <c r="D383" t="s">
        <v>854</v>
      </c>
      <c r="E383" t="s">
        <v>23</v>
      </c>
      <c r="F383" t="s">
        <v>44</v>
      </c>
      <c r="G383">
        <v>2022</v>
      </c>
      <c r="H383" t="s">
        <v>732</v>
      </c>
      <c r="K383" t="s">
        <v>25</v>
      </c>
      <c r="L383" t="s">
        <v>26</v>
      </c>
      <c r="M383" t="b">
        <v>1</v>
      </c>
      <c r="N383" t="s">
        <v>855</v>
      </c>
      <c r="Q383" t="b">
        <v>0</v>
      </c>
      <c r="S383" t="str">
        <f>"9780310135937"</f>
        <v>9780310135937</v>
      </c>
      <c r="T383" t="str">
        <f>"9780310135944"</f>
        <v>9780310135944</v>
      </c>
      <c r="U383" t="b">
        <v>0</v>
      </c>
      <c r="W383" t="b">
        <v>0</v>
      </c>
    </row>
    <row r="384" spans="1:23" x14ac:dyDescent="0.3">
      <c r="A384">
        <v>3099677</v>
      </c>
      <c r="B384">
        <v>58.62</v>
      </c>
      <c r="C384" t="s">
        <v>856</v>
      </c>
      <c r="D384" t="s">
        <v>857</v>
      </c>
      <c r="E384" t="s">
        <v>23</v>
      </c>
      <c r="F384" t="s">
        <v>28</v>
      </c>
      <c r="G384">
        <v>2022</v>
      </c>
      <c r="H384" t="s">
        <v>834</v>
      </c>
      <c r="K384" t="s">
        <v>25</v>
      </c>
      <c r="L384" t="s">
        <v>26</v>
      </c>
      <c r="M384" t="b">
        <v>1</v>
      </c>
      <c r="N384" t="s">
        <v>858</v>
      </c>
      <c r="Q384" t="b">
        <v>0</v>
      </c>
      <c r="S384" t="str">
        <f>"9780310777663"</f>
        <v>9780310777663</v>
      </c>
      <c r="T384" t="str">
        <f>"9780310778196"</f>
        <v>9780310778196</v>
      </c>
      <c r="U384" t="b">
        <v>0</v>
      </c>
      <c r="W384" t="b">
        <v>0</v>
      </c>
    </row>
    <row r="385" spans="1:23" x14ac:dyDescent="0.3">
      <c r="A385">
        <v>3074069</v>
      </c>
      <c r="B385">
        <v>12.04</v>
      </c>
      <c r="C385" t="s">
        <v>862</v>
      </c>
      <c r="E385" t="s">
        <v>23</v>
      </c>
      <c r="F385" t="s">
        <v>28</v>
      </c>
      <c r="G385">
        <v>2013</v>
      </c>
      <c r="H385" t="s">
        <v>863</v>
      </c>
      <c r="K385" t="s">
        <v>25</v>
      </c>
      <c r="L385" t="s">
        <v>26</v>
      </c>
      <c r="M385" t="b">
        <v>1</v>
      </c>
      <c r="N385" t="s">
        <v>864</v>
      </c>
      <c r="P385" t="s">
        <v>234</v>
      </c>
      <c r="Q385" t="b">
        <v>0</v>
      </c>
      <c r="S385" t="str">
        <f>"9780310739876"</f>
        <v>9780310739876</v>
      </c>
      <c r="T385" t="str">
        <f>"9780310739869"</f>
        <v>9780310739869</v>
      </c>
      <c r="U385" t="b">
        <v>0</v>
      </c>
      <c r="W385" t="b">
        <v>0</v>
      </c>
    </row>
    <row r="386" spans="1:23" x14ac:dyDescent="0.3">
      <c r="A386">
        <v>3050271</v>
      </c>
      <c r="B386">
        <v>155.22</v>
      </c>
      <c r="C386" t="s">
        <v>866</v>
      </c>
      <c r="D386" t="s">
        <v>867</v>
      </c>
      <c r="E386" t="s">
        <v>23</v>
      </c>
      <c r="F386" t="s">
        <v>106</v>
      </c>
      <c r="G386">
        <v>2022</v>
      </c>
      <c r="H386" t="s">
        <v>115</v>
      </c>
      <c r="I386" t="s">
        <v>868</v>
      </c>
      <c r="J386" t="s">
        <v>812</v>
      </c>
      <c r="K386" t="s">
        <v>25</v>
      </c>
      <c r="L386" t="s">
        <v>26</v>
      </c>
      <c r="M386" t="b">
        <v>1</v>
      </c>
      <c r="N386" t="s">
        <v>869</v>
      </c>
      <c r="O386" t="str">
        <f>"230"</f>
        <v>230</v>
      </c>
      <c r="Q386" t="b">
        <v>0</v>
      </c>
      <c r="S386" t="str">
        <f>"9780310124306"</f>
        <v>9780310124306</v>
      </c>
      <c r="T386" t="str">
        <f>"9780310124313"</f>
        <v>9780310124313</v>
      </c>
      <c r="U386" t="b">
        <v>0</v>
      </c>
      <c r="V386" t="s">
        <v>870</v>
      </c>
      <c r="W386" t="b">
        <v>0</v>
      </c>
    </row>
    <row r="387" spans="1:23" x14ac:dyDescent="0.3">
      <c r="A387">
        <v>3033416</v>
      </c>
      <c r="B387">
        <v>68.97</v>
      </c>
      <c r="C387" t="s">
        <v>873</v>
      </c>
      <c r="D387" t="s">
        <v>874</v>
      </c>
      <c r="E387" t="s">
        <v>23</v>
      </c>
      <c r="F387" t="s">
        <v>44</v>
      </c>
      <c r="G387">
        <v>2021</v>
      </c>
      <c r="H387" t="s">
        <v>865</v>
      </c>
      <c r="I387" t="s">
        <v>875</v>
      </c>
      <c r="J387" t="s">
        <v>876</v>
      </c>
      <c r="K387" t="s">
        <v>25</v>
      </c>
      <c r="L387" t="s">
        <v>26</v>
      </c>
      <c r="M387" t="b">
        <v>1</v>
      </c>
      <c r="N387" t="s">
        <v>111</v>
      </c>
      <c r="O387" t="str">
        <f>"231.7/3"</f>
        <v>231.7/3</v>
      </c>
      <c r="Q387" t="b">
        <v>0</v>
      </c>
      <c r="S387" t="str">
        <f>"9780310124191"</f>
        <v>9780310124191</v>
      </c>
      <c r="T387" t="str">
        <f>"9780310124207"</f>
        <v>9780310124207</v>
      </c>
      <c r="U387" t="b">
        <v>0</v>
      </c>
      <c r="W387" t="b">
        <v>0</v>
      </c>
    </row>
    <row r="388" spans="1:23" x14ac:dyDescent="0.3">
      <c r="A388">
        <v>3001274</v>
      </c>
      <c r="B388">
        <v>41.37</v>
      </c>
      <c r="C388" t="s">
        <v>878</v>
      </c>
      <c r="E388" t="s">
        <v>23</v>
      </c>
      <c r="F388" t="s">
        <v>44</v>
      </c>
      <c r="G388">
        <v>2011</v>
      </c>
      <c r="H388" t="s">
        <v>732</v>
      </c>
      <c r="K388" t="s">
        <v>25</v>
      </c>
      <c r="L388" t="s">
        <v>30</v>
      </c>
      <c r="M388" t="b">
        <v>1</v>
      </c>
      <c r="N388" t="s">
        <v>879</v>
      </c>
      <c r="Q388" t="b">
        <v>0</v>
      </c>
      <c r="T388" t="str">
        <f>"9780310861669"</f>
        <v>9780310861669</v>
      </c>
      <c r="U388" t="b">
        <v>0</v>
      </c>
      <c r="W388" t="b">
        <v>0</v>
      </c>
    </row>
    <row r="389" spans="1:23" x14ac:dyDescent="0.3">
      <c r="A389">
        <v>2984008</v>
      </c>
      <c r="B389">
        <v>42.61</v>
      </c>
      <c r="C389" t="s">
        <v>882</v>
      </c>
      <c r="D389" t="s">
        <v>883</v>
      </c>
      <c r="E389" t="s">
        <v>23</v>
      </c>
      <c r="F389" t="s">
        <v>106</v>
      </c>
      <c r="G389">
        <v>2009</v>
      </c>
      <c r="H389" t="s">
        <v>179</v>
      </c>
      <c r="K389" t="s">
        <v>25</v>
      </c>
      <c r="L389" t="s">
        <v>30</v>
      </c>
      <c r="M389" t="b">
        <v>1</v>
      </c>
      <c r="N389" t="s">
        <v>884</v>
      </c>
      <c r="Q389" t="b">
        <v>0</v>
      </c>
      <c r="T389" t="str">
        <f>"9780310539827"</f>
        <v>9780310539827</v>
      </c>
      <c r="U389" t="b">
        <v>0</v>
      </c>
      <c r="W389" t="b">
        <v>0</v>
      </c>
    </row>
    <row r="390" spans="1:23" x14ac:dyDescent="0.3">
      <c r="A390">
        <v>2984007</v>
      </c>
      <c r="B390">
        <v>65.52</v>
      </c>
      <c r="C390" t="s">
        <v>885</v>
      </c>
      <c r="D390" t="s">
        <v>883</v>
      </c>
      <c r="E390" t="s">
        <v>23</v>
      </c>
      <c r="F390" t="s">
        <v>106</v>
      </c>
      <c r="G390">
        <v>2020</v>
      </c>
      <c r="H390" t="s">
        <v>179</v>
      </c>
      <c r="K390" t="s">
        <v>25</v>
      </c>
      <c r="L390" t="s">
        <v>26</v>
      </c>
      <c r="M390" t="b">
        <v>1</v>
      </c>
      <c r="N390" t="s">
        <v>884</v>
      </c>
      <c r="Q390" t="b">
        <v>0</v>
      </c>
      <c r="S390" t="str">
        <f>"9780310108962"</f>
        <v>9780310108962</v>
      </c>
      <c r="T390" t="str">
        <f>"9780310108979"</f>
        <v>9780310108979</v>
      </c>
      <c r="U390" t="b">
        <v>0</v>
      </c>
      <c r="W390" t="b">
        <v>0</v>
      </c>
    </row>
    <row r="391" spans="1:23" x14ac:dyDescent="0.3">
      <c r="A391">
        <v>2983638</v>
      </c>
      <c r="B391">
        <v>51.72</v>
      </c>
      <c r="C391" t="s">
        <v>886</v>
      </c>
      <c r="D391" t="s">
        <v>887</v>
      </c>
      <c r="E391" t="s">
        <v>23</v>
      </c>
      <c r="F391" t="s">
        <v>44</v>
      </c>
      <c r="G391">
        <v>2009</v>
      </c>
      <c r="H391" t="s">
        <v>89</v>
      </c>
      <c r="K391" t="s">
        <v>25</v>
      </c>
      <c r="L391" t="s">
        <v>30</v>
      </c>
      <c r="M391" t="b">
        <v>1</v>
      </c>
      <c r="N391" t="s">
        <v>888</v>
      </c>
      <c r="P391" t="s">
        <v>889</v>
      </c>
      <c r="Q391" t="b">
        <v>0</v>
      </c>
      <c r="S391" t="str">
        <f>"9780310292845"</f>
        <v>9780310292845</v>
      </c>
      <c r="T391" t="str">
        <f>"9780310297932"</f>
        <v>9780310297932</v>
      </c>
      <c r="U391" t="b">
        <v>0</v>
      </c>
      <c r="W391" t="b">
        <v>0</v>
      </c>
    </row>
    <row r="392" spans="1:23" x14ac:dyDescent="0.3">
      <c r="A392">
        <v>2983630</v>
      </c>
      <c r="B392">
        <v>86.22</v>
      </c>
      <c r="C392" t="s">
        <v>891</v>
      </c>
      <c r="D392" t="s">
        <v>892</v>
      </c>
      <c r="E392" t="s">
        <v>23</v>
      </c>
      <c r="F392" t="s">
        <v>106</v>
      </c>
      <c r="G392">
        <v>2020</v>
      </c>
      <c r="H392" t="s">
        <v>893</v>
      </c>
      <c r="I392" t="s">
        <v>894</v>
      </c>
      <c r="J392" t="s">
        <v>895</v>
      </c>
      <c r="K392" t="s">
        <v>25</v>
      </c>
      <c r="L392" t="s">
        <v>26</v>
      </c>
      <c r="M392" t="b">
        <v>1</v>
      </c>
      <c r="N392" t="s">
        <v>896</v>
      </c>
      <c r="O392" t="str">
        <f>"487.4"</f>
        <v>487.4</v>
      </c>
      <c r="Q392" t="b">
        <v>0</v>
      </c>
      <c r="S392" t="str">
        <f>"9780310108603"</f>
        <v>9780310108603</v>
      </c>
      <c r="T392" t="str">
        <f>"9780310108610"</f>
        <v>9780310108610</v>
      </c>
      <c r="U392" t="b">
        <v>0</v>
      </c>
      <c r="W392" t="b">
        <v>0</v>
      </c>
    </row>
    <row r="393" spans="1:23" x14ac:dyDescent="0.3">
      <c r="A393">
        <v>2983491</v>
      </c>
      <c r="B393">
        <v>56.82</v>
      </c>
      <c r="C393" t="s">
        <v>898</v>
      </c>
      <c r="D393" t="s">
        <v>899</v>
      </c>
      <c r="E393" t="s">
        <v>23</v>
      </c>
      <c r="F393" t="s">
        <v>44</v>
      </c>
      <c r="G393">
        <v>2014</v>
      </c>
      <c r="H393" t="s">
        <v>900</v>
      </c>
      <c r="K393" t="s">
        <v>25</v>
      </c>
      <c r="L393" t="s">
        <v>26</v>
      </c>
      <c r="M393" t="b">
        <v>1</v>
      </c>
      <c r="N393" t="s">
        <v>901</v>
      </c>
      <c r="P393" t="s">
        <v>902</v>
      </c>
      <c r="Q393" t="b">
        <v>0</v>
      </c>
      <c r="S393" t="str">
        <f>"9780310335566"</f>
        <v>9780310335566</v>
      </c>
      <c r="T393" t="str">
        <f>"9780310335573"</f>
        <v>9780310335573</v>
      </c>
      <c r="U393" t="b">
        <v>0</v>
      </c>
      <c r="W393" t="b">
        <v>0</v>
      </c>
    </row>
    <row r="394" spans="1:23" x14ac:dyDescent="0.3">
      <c r="A394">
        <v>2983458</v>
      </c>
      <c r="B394">
        <v>62.07</v>
      </c>
      <c r="C394" t="s">
        <v>913</v>
      </c>
      <c r="D394" t="s">
        <v>914</v>
      </c>
      <c r="E394" t="s">
        <v>23</v>
      </c>
      <c r="F394" t="s">
        <v>28</v>
      </c>
      <c r="G394">
        <v>2021</v>
      </c>
      <c r="H394" t="s">
        <v>123</v>
      </c>
      <c r="K394" t="s">
        <v>25</v>
      </c>
      <c r="L394" t="s">
        <v>26</v>
      </c>
      <c r="M394" t="b">
        <v>1</v>
      </c>
      <c r="N394" t="s">
        <v>915</v>
      </c>
      <c r="P394" t="s">
        <v>125</v>
      </c>
      <c r="Q394" t="b">
        <v>0</v>
      </c>
      <c r="S394" t="str">
        <f>"9780310770138"</f>
        <v>9780310770138</v>
      </c>
      <c r="T394" t="str">
        <f>"9780310770145"</f>
        <v>9780310770145</v>
      </c>
      <c r="U394" t="b">
        <v>0</v>
      </c>
      <c r="W394" t="b">
        <v>0</v>
      </c>
    </row>
    <row r="395" spans="1:23" x14ac:dyDescent="0.3">
      <c r="A395">
        <v>2983457</v>
      </c>
      <c r="B395">
        <v>62.07</v>
      </c>
      <c r="C395" t="s">
        <v>916</v>
      </c>
      <c r="D395" t="s">
        <v>917</v>
      </c>
      <c r="E395" t="s">
        <v>23</v>
      </c>
      <c r="F395" t="s">
        <v>28</v>
      </c>
      <c r="G395">
        <v>2022</v>
      </c>
      <c r="H395" t="s">
        <v>168</v>
      </c>
      <c r="K395" t="s">
        <v>25</v>
      </c>
      <c r="L395" t="s">
        <v>26</v>
      </c>
      <c r="M395" t="b">
        <v>1</v>
      </c>
      <c r="N395" t="s">
        <v>918</v>
      </c>
      <c r="Q395" t="b">
        <v>0</v>
      </c>
      <c r="S395" t="str">
        <f>"9780310751212"</f>
        <v>9780310751212</v>
      </c>
      <c r="T395" t="str">
        <f>"9780310751601"</f>
        <v>9780310751601</v>
      </c>
      <c r="U395" t="b">
        <v>0</v>
      </c>
      <c r="W395" t="b">
        <v>0</v>
      </c>
    </row>
    <row r="396" spans="1:23" x14ac:dyDescent="0.3">
      <c r="A396">
        <v>2983456</v>
      </c>
      <c r="B396">
        <v>58.62</v>
      </c>
      <c r="C396" t="s">
        <v>919</v>
      </c>
      <c r="D396" t="s">
        <v>920</v>
      </c>
      <c r="E396" t="s">
        <v>23</v>
      </c>
      <c r="F396" t="s">
        <v>28</v>
      </c>
      <c r="G396">
        <v>2022</v>
      </c>
      <c r="H396" t="s">
        <v>123</v>
      </c>
      <c r="K396" t="s">
        <v>25</v>
      </c>
      <c r="L396" t="s">
        <v>26</v>
      </c>
      <c r="M396" t="b">
        <v>1</v>
      </c>
      <c r="N396" t="s">
        <v>915</v>
      </c>
      <c r="P396" t="s">
        <v>921</v>
      </c>
      <c r="Q396" t="b">
        <v>0</v>
      </c>
      <c r="S396" t="str">
        <f>"9780310770176"</f>
        <v>9780310770176</v>
      </c>
      <c r="T396" t="str">
        <f>"9780310770183"</f>
        <v>9780310770183</v>
      </c>
      <c r="U396" t="b">
        <v>0</v>
      </c>
      <c r="W396" t="b">
        <v>0</v>
      </c>
    </row>
    <row r="397" spans="1:23" x14ac:dyDescent="0.3">
      <c r="A397">
        <v>2983454</v>
      </c>
      <c r="B397">
        <v>72.42</v>
      </c>
      <c r="C397" t="s">
        <v>922</v>
      </c>
      <c r="E397" t="s">
        <v>23</v>
      </c>
      <c r="F397" t="s">
        <v>106</v>
      </c>
      <c r="G397">
        <v>2021</v>
      </c>
      <c r="H397" t="s">
        <v>735</v>
      </c>
      <c r="I397" t="s">
        <v>923</v>
      </c>
      <c r="J397" t="s">
        <v>924</v>
      </c>
      <c r="K397" t="s">
        <v>25</v>
      </c>
      <c r="L397" t="s">
        <v>26</v>
      </c>
      <c r="M397" t="b">
        <v>1</v>
      </c>
      <c r="N397" t="s">
        <v>44</v>
      </c>
      <c r="O397" t="str">
        <f>"236/.24"</f>
        <v>236/.24</v>
      </c>
      <c r="P397" t="s">
        <v>925</v>
      </c>
      <c r="Q397" t="b">
        <v>0</v>
      </c>
      <c r="S397" t="str">
        <f>"9780310093886"</f>
        <v>9780310093886</v>
      </c>
      <c r="T397" t="str">
        <f>"9780310093893"</f>
        <v>9780310093893</v>
      </c>
      <c r="U397" t="b">
        <v>0</v>
      </c>
      <c r="W397" t="b">
        <v>0</v>
      </c>
    </row>
    <row r="398" spans="1:23" x14ac:dyDescent="0.3">
      <c r="A398">
        <v>2983452</v>
      </c>
      <c r="B398">
        <v>172.47</v>
      </c>
      <c r="C398" t="s">
        <v>926</v>
      </c>
      <c r="E398" t="s">
        <v>23</v>
      </c>
      <c r="F398" t="s">
        <v>106</v>
      </c>
      <c r="G398">
        <v>2021</v>
      </c>
      <c r="H398" t="s">
        <v>927</v>
      </c>
      <c r="I398" t="s">
        <v>928</v>
      </c>
      <c r="K398" t="s">
        <v>25</v>
      </c>
      <c r="L398" t="s">
        <v>26</v>
      </c>
      <c r="M398" t="b">
        <v>1</v>
      </c>
      <c r="N398" t="s">
        <v>929</v>
      </c>
      <c r="O398" t="str">
        <f>"222/.5077"</f>
        <v>222/.5077</v>
      </c>
      <c r="P398" t="s">
        <v>930</v>
      </c>
      <c r="Q398" t="b">
        <v>0</v>
      </c>
      <c r="S398" t="str">
        <f>"9780310490968"</f>
        <v>9780310490968</v>
      </c>
      <c r="T398" t="str">
        <f>"9780310125358"</f>
        <v>9780310125358</v>
      </c>
      <c r="U398" t="b">
        <v>0</v>
      </c>
      <c r="W398" t="b">
        <v>0</v>
      </c>
    </row>
    <row r="399" spans="1:23" x14ac:dyDescent="0.3">
      <c r="A399">
        <v>2983451</v>
      </c>
      <c r="B399">
        <v>275.97000000000003</v>
      </c>
      <c r="C399" t="s">
        <v>931</v>
      </c>
      <c r="E399" t="s">
        <v>23</v>
      </c>
      <c r="F399" t="s">
        <v>106</v>
      </c>
      <c r="G399">
        <v>2021</v>
      </c>
      <c r="H399" t="s">
        <v>830</v>
      </c>
      <c r="I399" t="s">
        <v>932</v>
      </c>
      <c r="J399" t="s">
        <v>933</v>
      </c>
      <c r="K399" t="s">
        <v>25</v>
      </c>
      <c r="L399" t="s">
        <v>26</v>
      </c>
      <c r="M399" t="b">
        <v>1</v>
      </c>
      <c r="N399" t="s">
        <v>934</v>
      </c>
      <c r="O399" t="str">
        <f>"225.3"</f>
        <v>225.3</v>
      </c>
      <c r="Q399" t="b">
        <v>0</v>
      </c>
      <c r="R399" t="b">
        <v>1</v>
      </c>
      <c r="S399" t="str">
        <f>"9780310598473"</f>
        <v>9780310598473</v>
      </c>
      <c r="T399" t="str">
        <f>"9780310598480"</f>
        <v>9780310598480</v>
      </c>
      <c r="U399" t="b">
        <v>0</v>
      </c>
      <c r="W399" t="b">
        <v>0</v>
      </c>
    </row>
    <row r="400" spans="1:23" x14ac:dyDescent="0.3">
      <c r="A400">
        <v>2983450</v>
      </c>
      <c r="B400">
        <v>65.52</v>
      </c>
      <c r="C400" t="s">
        <v>935</v>
      </c>
      <c r="D400" t="s">
        <v>936</v>
      </c>
      <c r="E400" t="s">
        <v>23</v>
      </c>
      <c r="F400" t="s">
        <v>106</v>
      </c>
      <c r="G400">
        <v>2022</v>
      </c>
      <c r="H400" t="s">
        <v>115</v>
      </c>
      <c r="I400" t="s">
        <v>937</v>
      </c>
      <c r="J400" t="s">
        <v>938</v>
      </c>
      <c r="K400" t="s">
        <v>25</v>
      </c>
      <c r="L400" t="s">
        <v>26</v>
      </c>
      <c r="M400" t="b">
        <v>1</v>
      </c>
      <c r="N400" t="s">
        <v>939</v>
      </c>
      <c r="O400" t="str">
        <f>"230"</f>
        <v>230</v>
      </c>
      <c r="Q400" t="b">
        <v>0</v>
      </c>
      <c r="S400" t="str">
        <f>"9780310124337"</f>
        <v>9780310124337</v>
      </c>
      <c r="T400" t="str">
        <f>"9780310124344"</f>
        <v>9780310124344</v>
      </c>
      <c r="U400" t="b">
        <v>0</v>
      </c>
      <c r="V400" t="s">
        <v>940</v>
      </c>
      <c r="W400" t="b">
        <v>0</v>
      </c>
    </row>
    <row r="401" spans="1:23" x14ac:dyDescent="0.3">
      <c r="A401">
        <v>2983449</v>
      </c>
      <c r="B401">
        <v>86.22</v>
      </c>
      <c r="C401" t="s">
        <v>941</v>
      </c>
      <c r="D401" t="s">
        <v>942</v>
      </c>
      <c r="E401" t="s">
        <v>23</v>
      </c>
      <c r="F401" t="s">
        <v>106</v>
      </c>
      <c r="G401">
        <v>2022</v>
      </c>
      <c r="H401" t="s">
        <v>115</v>
      </c>
      <c r="K401" t="s">
        <v>25</v>
      </c>
      <c r="L401" t="s">
        <v>26</v>
      </c>
      <c r="M401" t="b">
        <v>1</v>
      </c>
      <c r="N401" t="s">
        <v>943</v>
      </c>
      <c r="Q401" t="b">
        <v>0</v>
      </c>
      <c r="S401" t="str">
        <f>"9780310136170"</f>
        <v>9780310136170</v>
      </c>
      <c r="T401" t="str">
        <f>"9780310136187"</f>
        <v>9780310136187</v>
      </c>
      <c r="U401" t="b">
        <v>0</v>
      </c>
      <c r="W401" t="b">
        <v>0</v>
      </c>
    </row>
    <row r="402" spans="1:23" x14ac:dyDescent="0.3">
      <c r="A402">
        <v>2983448</v>
      </c>
      <c r="B402">
        <v>58.62</v>
      </c>
      <c r="C402" t="s">
        <v>944</v>
      </c>
      <c r="D402" t="s">
        <v>945</v>
      </c>
      <c r="E402" t="s">
        <v>23</v>
      </c>
      <c r="F402" t="s">
        <v>106</v>
      </c>
      <c r="G402">
        <v>2022</v>
      </c>
      <c r="H402" t="s">
        <v>115</v>
      </c>
      <c r="K402" t="s">
        <v>25</v>
      </c>
      <c r="L402" t="s">
        <v>26</v>
      </c>
      <c r="M402" t="b">
        <v>1</v>
      </c>
      <c r="N402" t="s">
        <v>946</v>
      </c>
      <c r="Q402" t="b">
        <v>0</v>
      </c>
      <c r="S402" t="str">
        <f>"9780310136200"</f>
        <v>9780310136200</v>
      </c>
      <c r="T402" t="str">
        <f>"9780310136217"</f>
        <v>9780310136217</v>
      </c>
      <c r="U402" t="b">
        <v>0</v>
      </c>
      <c r="W402" t="b">
        <v>0</v>
      </c>
    </row>
    <row r="403" spans="1:23" x14ac:dyDescent="0.3">
      <c r="A403">
        <v>2983447</v>
      </c>
      <c r="B403">
        <v>51.72</v>
      </c>
      <c r="C403" t="s">
        <v>947</v>
      </c>
      <c r="D403" t="s">
        <v>948</v>
      </c>
      <c r="E403" t="s">
        <v>23</v>
      </c>
      <c r="F403" t="s">
        <v>44</v>
      </c>
      <c r="G403">
        <v>2021</v>
      </c>
      <c r="H403" t="s">
        <v>70</v>
      </c>
      <c r="K403" t="s">
        <v>25</v>
      </c>
      <c r="L403" t="s">
        <v>26</v>
      </c>
      <c r="M403" t="b">
        <v>1</v>
      </c>
      <c r="N403" t="s">
        <v>949</v>
      </c>
      <c r="Q403" t="b">
        <v>0</v>
      </c>
      <c r="S403" t="str">
        <f>"9780310108436"</f>
        <v>9780310108436</v>
      </c>
      <c r="T403" t="str">
        <f>"9780310108443"</f>
        <v>9780310108443</v>
      </c>
      <c r="U403" t="b">
        <v>0</v>
      </c>
      <c r="W403" t="b">
        <v>0</v>
      </c>
    </row>
    <row r="404" spans="1:23" x14ac:dyDescent="0.3">
      <c r="A404">
        <v>2983446</v>
      </c>
      <c r="B404">
        <v>93.12</v>
      </c>
      <c r="C404" t="s">
        <v>950</v>
      </c>
      <c r="D404" t="s">
        <v>951</v>
      </c>
      <c r="E404" t="s">
        <v>23</v>
      </c>
      <c r="F404" t="s">
        <v>44</v>
      </c>
      <c r="G404">
        <v>2021</v>
      </c>
      <c r="H404" t="s">
        <v>70</v>
      </c>
      <c r="K404" t="s">
        <v>25</v>
      </c>
      <c r="L404" t="s">
        <v>26</v>
      </c>
      <c r="M404" t="b">
        <v>1</v>
      </c>
      <c r="N404" t="s">
        <v>915</v>
      </c>
      <c r="Q404" t="b">
        <v>0</v>
      </c>
      <c r="S404" t="str">
        <f>"9780310259190"</f>
        <v>9780310259190</v>
      </c>
      <c r="T404" t="str">
        <f>"9780310358435"</f>
        <v>9780310358435</v>
      </c>
      <c r="U404" t="b">
        <v>0</v>
      </c>
      <c r="W404" t="b">
        <v>0</v>
      </c>
    </row>
    <row r="405" spans="1:23" x14ac:dyDescent="0.3">
      <c r="A405">
        <v>2983445</v>
      </c>
      <c r="B405">
        <v>65.52</v>
      </c>
      <c r="C405" t="s">
        <v>952</v>
      </c>
      <c r="D405" t="s">
        <v>953</v>
      </c>
      <c r="E405" t="s">
        <v>23</v>
      </c>
      <c r="F405" t="s">
        <v>44</v>
      </c>
      <c r="G405">
        <v>2021</v>
      </c>
      <c r="H405" t="s">
        <v>954</v>
      </c>
      <c r="K405" t="s">
        <v>25</v>
      </c>
      <c r="L405" t="s">
        <v>26</v>
      </c>
      <c r="M405" t="b">
        <v>1</v>
      </c>
      <c r="N405" t="s">
        <v>955</v>
      </c>
      <c r="Q405" t="b">
        <v>0</v>
      </c>
      <c r="S405" t="str">
        <f>"9780310127819"</f>
        <v>9780310127819</v>
      </c>
      <c r="T405" t="str">
        <f>"9780310127826"</f>
        <v>9780310127826</v>
      </c>
      <c r="U405" t="b">
        <v>0</v>
      </c>
      <c r="V405" t="s">
        <v>956</v>
      </c>
      <c r="W405" t="b">
        <v>0</v>
      </c>
    </row>
    <row r="406" spans="1:23" x14ac:dyDescent="0.3">
      <c r="A406">
        <v>2983444</v>
      </c>
      <c r="B406">
        <v>55.17</v>
      </c>
      <c r="C406" t="s">
        <v>957</v>
      </c>
      <c r="E406" t="s">
        <v>23</v>
      </c>
      <c r="F406" t="s">
        <v>44</v>
      </c>
      <c r="G406">
        <v>2021</v>
      </c>
      <c r="H406" t="s">
        <v>772</v>
      </c>
      <c r="K406" t="s">
        <v>25</v>
      </c>
      <c r="L406" t="s">
        <v>26</v>
      </c>
      <c r="M406" t="b">
        <v>1</v>
      </c>
      <c r="N406" t="s">
        <v>958</v>
      </c>
      <c r="P406" t="s">
        <v>959</v>
      </c>
      <c r="Q406" t="b">
        <v>1</v>
      </c>
      <c r="S406" t="str">
        <f>"9780310357285"</f>
        <v>9780310357285</v>
      </c>
      <c r="T406" t="str">
        <f>"9780310357292"</f>
        <v>9780310357292</v>
      </c>
      <c r="U406" t="b">
        <v>0</v>
      </c>
      <c r="W406" t="b">
        <v>0</v>
      </c>
    </row>
    <row r="407" spans="1:23" x14ac:dyDescent="0.3">
      <c r="A407">
        <v>2983443</v>
      </c>
      <c r="B407">
        <v>14.18</v>
      </c>
      <c r="C407" t="s">
        <v>960</v>
      </c>
      <c r="D407" t="s">
        <v>961</v>
      </c>
      <c r="E407" t="s">
        <v>23</v>
      </c>
      <c r="F407" t="s">
        <v>44</v>
      </c>
      <c r="G407">
        <v>2021</v>
      </c>
      <c r="H407" t="s">
        <v>772</v>
      </c>
      <c r="K407" t="s">
        <v>25</v>
      </c>
      <c r="L407" t="s">
        <v>30</v>
      </c>
      <c r="M407" t="b">
        <v>1</v>
      </c>
      <c r="N407" t="s">
        <v>962</v>
      </c>
      <c r="Q407" t="b">
        <v>1</v>
      </c>
      <c r="T407" t="str">
        <f>"9780310361459"</f>
        <v>9780310361459</v>
      </c>
      <c r="U407" t="b">
        <v>0</v>
      </c>
      <c r="W407" t="b">
        <v>0</v>
      </c>
    </row>
    <row r="408" spans="1:23" x14ac:dyDescent="0.3">
      <c r="A408">
        <v>2983442</v>
      </c>
      <c r="B408">
        <v>75.87</v>
      </c>
      <c r="C408" t="s">
        <v>963</v>
      </c>
      <c r="D408" t="s">
        <v>964</v>
      </c>
      <c r="E408" t="s">
        <v>23</v>
      </c>
      <c r="F408" t="s">
        <v>44</v>
      </c>
      <c r="G408">
        <v>2021</v>
      </c>
      <c r="H408" t="s">
        <v>56</v>
      </c>
      <c r="K408" t="s">
        <v>25</v>
      </c>
      <c r="L408" t="s">
        <v>26</v>
      </c>
      <c r="M408" t="b">
        <v>1</v>
      </c>
      <c r="N408" t="s">
        <v>965</v>
      </c>
      <c r="Q408" t="b">
        <v>0</v>
      </c>
      <c r="S408" t="str">
        <f>"9780310359333"</f>
        <v>9780310359333</v>
      </c>
      <c r="T408" t="str">
        <f>"9780310361848"</f>
        <v>9780310361848</v>
      </c>
      <c r="U408" t="b">
        <v>0</v>
      </c>
      <c r="W408" t="b">
        <v>0</v>
      </c>
    </row>
    <row r="409" spans="1:23" x14ac:dyDescent="0.3">
      <c r="A409">
        <v>2983441</v>
      </c>
      <c r="B409">
        <v>86.22</v>
      </c>
      <c r="C409" t="s">
        <v>966</v>
      </c>
      <c r="D409" t="s">
        <v>967</v>
      </c>
      <c r="E409" t="s">
        <v>23</v>
      </c>
      <c r="F409" t="s">
        <v>44</v>
      </c>
      <c r="G409">
        <v>2021</v>
      </c>
      <c r="H409" t="s">
        <v>132</v>
      </c>
      <c r="K409" t="s">
        <v>25</v>
      </c>
      <c r="L409" t="s">
        <v>26</v>
      </c>
      <c r="M409" t="b">
        <v>1</v>
      </c>
      <c r="N409" t="s">
        <v>968</v>
      </c>
      <c r="Q409" t="b">
        <v>0</v>
      </c>
      <c r="S409" t="str">
        <f>"9780310363262"</f>
        <v>9780310363262</v>
      </c>
      <c r="T409" t="str">
        <f>"9780310363293"</f>
        <v>9780310363293</v>
      </c>
      <c r="U409" t="b">
        <v>0</v>
      </c>
      <c r="W409" t="b">
        <v>0</v>
      </c>
    </row>
    <row r="410" spans="1:23" x14ac:dyDescent="0.3">
      <c r="A410">
        <v>2983440</v>
      </c>
      <c r="B410">
        <v>65.52</v>
      </c>
      <c r="C410" t="s">
        <v>969</v>
      </c>
      <c r="D410" t="s">
        <v>970</v>
      </c>
      <c r="E410" t="s">
        <v>23</v>
      </c>
      <c r="F410" t="s">
        <v>44</v>
      </c>
      <c r="G410">
        <v>2021</v>
      </c>
      <c r="H410" t="s">
        <v>132</v>
      </c>
      <c r="K410" t="s">
        <v>25</v>
      </c>
      <c r="L410" t="s">
        <v>26</v>
      </c>
      <c r="M410" t="b">
        <v>1</v>
      </c>
      <c r="N410" t="s">
        <v>968</v>
      </c>
      <c r="Q410" t="b">
        <v>0</v>
      </c>
      <c r="S410" t="str">
        <f>"9780310363323"</f>
        <v>9780310363323</v>
      </c>
      <c r="T410" t="str">
        <f>"9780310363330"</f>
        <v>9780310363330</v>
      </c>
      <c r="U410" t="b">
        <v>0</v>
      </c>
      <c r="W410" t="b">
        <v>0</v>
      </c>
    </row>
    <row r="411" spans="1:23" x14ac:dyDescent="0.3">
      <c r="A411">
        <v>2983439</v>
      </c>
      <c r="B411">
        <v>89.67</v>
      </c>
      <c r="C411" t="s">
        <v>971</v>
      </c>
      <c r="D411" t="s">
        <v>972</v>
      </c>
      <c r="E411" t="s">
        <v>23</v>
      </c>
      <c r="F411" t="s">
        <v>44</v>
      </c>
      <c r="G411">
        <v>2021</v>
      </c>
      <c r="H411" t="s">
        <v>119</v>
      </c>
      <c r="K411" t="s">
        <v>25</v>
      </c>
      <c r="L411" t="s">
        <v>26</v>
      </c>
      <c r="M411" t="b">
        <v>1</v>
      </c>
      <c r="N411" t="s">
        <v>973</v>
      </c>
      <c r="Q411" t="b">
        <v>0</v>
      </c>
      <c r="S411" t="str">
        <f>"9780310363590"</f>
        <v>9780310363590</v>
      </c>
      <c r="T411" t="str">
        <f>"9780310363620"</f>
        <v>9780310363620</v>
      </c>
      <c r="U411" t="b">
        <v>0</v>
      </c>
      <c r="W411" t="b">
        <v>0</v>
      </c>
    </row>
    <row r="412" spans="1:23" x14ac:dyDescent="0.3">
      <c r="A412">
        <v>2983438</v>
      </c>
      <c r="B412">
        <v>65.52</v>
      </c>
      <c r="C412" t="s">
        <v>974</v>
      </c>
      <c r="D412" t="s">
        <v>975</v>
      </c>
      <c r="E412" t="s">
        <v>23</v>
      </c>
      <c r="F412" t="s">
        <v>44</v>
      </c>
      <c r="G412">
        <v>2021</v>
      </c>
      <c r="H412" t="s">
        <v>912</v>
      </c>
      <c r="K412" t="s">
        <v>25</v>
      </c>
      <c r="L412" t="s">
        <v>26</v>
      </c>
      <c r="M412" t="b">
        <v>1</v>
      </c>
      <c r="N412" t="s">
        <v>976</v>
      </c>
      <c r="Q412" t="b">
        <v>0</v>
      </c>
      <c r="S412" t="str">
        <f>"9780310364191"</f>
        <v>9780310364191</v>
      </c>
      <c r="T412" t="str">
        <f>"9780310364207"</f>
        <v>9780310364207</v>
      </c>
      <c r="U412" t="b">
        <v>0</v>
      </c>
      <c r="W412" t="b">
        <v>0</v>
      </c>
    </row>
    <row r="413" spans="1:23" x14ac:dyDescent="0.3">
      <c r="A413">
        <v>2983437</v>
      </c>
      <c r="B413">
        <v>68.97</v>
      </c>
      <c r="C413" t="s">
        <v>977</v>
      </c>
      <c r="D413" t="s">
        <v>127</v>
      </c>
      <c r="E413" t="s">
        <v>23</v>
      </c>
      <c r="F413" t="s">
        <v>44</v>
      </c>
      <c r="G413">
        <v>2021</v>
      </c>
      <c r="H413" t="s">
        <v>58</v>
      </c>
      <c r="K413" t="s">
        <v>25</v>
      </c>
      <c r="L413" t="s">
        <v>26</v>
      </c>
      <c r="M413" t="b">
        <v>1</v>
      </c>
      <c r="N413" t="s">
        <v>915</v>
      </c>
      <c r="P413" t="s">
        <v>978</v>
      </c>
      <c r="Q413" t="b">
        <v>0</v>
      </c>
      <c r="S413" t="str">
        <f>"9780310364276"</f>
        <v>9780310364276</v>
      </c>
      <c r="T413" t="str">
        <f>"9780310364283"</f>
        <v>9780310364283</v>
      </c>
      <c r="U413" t="b">
        <v>0</v>
      </c>
      <c r="W413" t="b">
        <v>0</v>
      </c>
    </row>
    <row r="414" spans="1:23" x14ac:dyDescent="0.3">
      <c r="A414">
        <v>2983436</v>
      </c>
      <c r="B414">
        <v>55.17</v>
      </c>
      <c r="C414" t="s">
        <v>979</v>
      </c>
      <c r="E414" t="s">
        <v>23</v>
      </c>
      <c r="F414" t="s">
        <v>44</v>
      </c>
      <c r="G414">
        <v>2022</v>
      </c>
      <c r="H414" t="s">
        <v>772</v>
      </c>
      <c r="K414" t="s">
        <v>25</v>
      </c>
      <c r="L414" t="s">
        <v>26</v>
      </c>
      <c r="M414" t="b">
        <v>1</v>
      </c>
      <c r="N414" t="s">
        <v>742</v>
      </c>
      <c r="P414" t="s">
        <v>980</v>
      </c>
      <c r="Q414" t="b">
        <v>1</v>
      </c>
      <c r="S414" t="str">
        <f>"9780310358992"</f>
        <v>9780310358992</v>
      </c>
      <c r="T414" t="str">
        <f>"9780310359524"</f>
        <v>9780310359524</v>
      </c>
      <c r="U414" t="b">
        <v>0</v>
      </c>
      <c r="W414" t="b">
        <v>0</v>
      </c>
    </row>
    <row r="415" spans="1:23" x14ac:dyDescent="0.3">
      <c r="A415">
        <v>2983429</v>
      </c>
      <c r="B415">
        <v>189.72</v>
      </c>
      <c r="C415" t="s">
        <v>981</v>
      </c>
      <c r="E415" t="s">
        <v>23</v>
      </c>
      <c r="F415" t="s">
        <v>44</v>
      </c>
      <c r="G415">
        <v>2022</v>
      </c>
      <c r="H415" t="s">
        <v>982</v>
      </c>
      <c r="K415" t="s">
        <v>25</v>
      </c>
      <c r="L415" t="s">
        <v>26</v>
      </c>
      <c r="M415" t="b">
        <v>1</v>
      </c>
      <c r="N415" t="s">
        <v>44</v>
      </c>
      <c r="Q415" t="b">
        <v>0</v>
      </c>
      <c r="S415" t="str">
        <f>"9780310459804"</f>
        <v>9780310459804</v>
      </c>
      <c r="T415" t="str">
        <f>"9780310459897"</f>
        <v>9780310459897</v>
      </c>
      <c r="U415" t="b">
        <v>0</v>
      </c>
      <c r="W415" t="b">
        <v>0</v>
      </c>
    </row>
    <row r="416" spans="1:23" x14ac:dyDescent="0.3">
      <c r="A416">
        <v>2983428</v>
      </c>
      <c r="B416">
        <v>62.07</v>
      </c>
      <c r="C416" t="s">
        <v>983</v>
      </c>
      <c r="D416" t="s">
        <v>984</v>
      </c>
      <c r="E416" t="s">
        <v>23</v>
      </c>
      <c r="F416" t="s">
        <v>44</v>
      </c>
      <c r="G416">
        <v>2022</v>
      </c>
      <c r="H416" t="s">
        <v>877</v>
      </c>
      <c r="K416" t="s">
        <v>25</v>
      </c>
      <c r="L416" t="s">
        <v>26</v>
      </c>
      <c r="M416" t="b">
        <v>1</v>
      </c>
      <c r="N416" t="s">
        <v>985</v>
      </c>
      <c r="Q416" t="b">
        <v>0</v>
      </c>
      <c r="S416" t="str">
        <f>"9780310458630"</f>
        <v>9780310458630</v>
      </c>
      <c r="T416" t="str">
        <f>"9780310458562"</f>
        <v>9780310458562</v>
      </c>
      <c r="U416" t="b">
        <v>0</v>
      </c>
      <c r="W416" t="b">
        <v>0</v>
      </c>
    </row>
    <row r="417" spans="1:23" x14ac:dyDescent="0.3">
      <c r="A417">
        <v>2983427</v>
      </c>
      <c r="B417">
        <v>58.62</v>
      </c>
      <c r="C417" t="s">
        <v>986</v>
      </c>
      <c r="D417" t="s">
        <v>987</v>
      </c>
      <c r="E417" t="s">
        <v>23</v>
      </c>
      <c r="F417" t="s">
        <v>44</v>
      </c>
      <c r="G417">
        <v>2022</v>
      </c>
      <c r="H417" t="s">
        <v>121</v>
      </c>
      <c r="K417" t="s">
        <v>25</v>
      </c>
      <c r="L417" t="s">
        <v>26</v>
      </c>
      <c r="M417" t="b">
        <v>1</v>
      </c>
      <c r="N417" t="s">
        <v>988</v>
      </c>
      <c r="Q417" t="b">
        <v>0</v>
      </c>
      <c r="S417" t="str">
        <f>"9780310455646"</f>
        <v>9780310455646</v>
      </c>
      <c r="T417" t="str">
        <f>"9780310454991"</f>
        <v>9780310454991</v>
      </c>
      <c r="U417" t="b">
        <v>0</v>
      </c>
      <c r="W417" t="b">
        <v>0</v>
      </c>
    </row>
    <row r="418" spans="1:23" x14ac:dyDescent="0.3">
      <c r="A418">
        <v>2983426</v>
      </c>
      <c r="B418">
        <v>55.17</v>
      </c>
      <c r="C418" t="s">
        <v>989</v>
      </c>
      <c r="E418" t="s">
        <v>23</v>
      </c>
      <c r="F418" t="s">
        <v>44</v>
      </c>
      <c r="G418">
        <v>2022</v>
      </c>
      <c r="H418" t="s">
        <v>772</v>
      </c>
      <c r="K418" t="s">
        <v>25</v>
      </c>
      <c r="L418" t="s">
        <v>26</v>
      </c>
      <c r="M418" t="b">
        <v>1</v>
      </c>
      <c r="N418" t="s">
        <v>958</v>
      </c>
      <c r="P418" t="s">
        <v>990</v>
      </c>
      <c r="Q418" t="b">
        <v>1</v>
      </c>
      <c r="S418" t="str">
        <f>"9780310365532"</f>
        <v>9780310365532</v>
      </c>
      <c r="T418" t="str">
        <f>"9780310365549"</f>
        <v>9780310365549</v>
      </c>
      <c r="U418" t="b">
        <v>0</v>
      </c>
      <c r="W418" t="b">
        <v>0</v>
      </c>
    </row>
    <row r="419" spans="1:23" x14ac:dyDescent="0.3">
      <c r="A419">
        <v>2983425</v>
      </c>
      <c r="B419">
        <v>75.87</v>
      </c>
      <c r="C419" t="s">
        <v>991</v>
      </c>
      <c r="E419" t="s">
        <v>23</v>
      </c>
      <c r="F419" t="s">
        <v>44</v>
      </c>
      <c r="G419">
        <v>2022</v>
      </c>
      <c r="H419" t="s">
        <v>132</v>
      </c>
      <c r="K419" t="s">
        <v>25</v>
      </c>
      <c r="L419" t="s">
        <v>26</v>
      </c>
      <c r="M419" t="b">
        <v>1</v>
      </c>
      <c r="N419" t="s">
        <v>992</v>
      </c>
      <c r="Q419" t="b">
        <v>0</v>
      </c>
      <c r="S419" t="str">
        <f>"9780310365143"</f>
        <v>9780310365143</v>
      </c>
      <c r="T419" t="str">
        <f>"9780310365174"</f>
        <v>9780310365174</v>
      </c>
      <c r="U419" t="b">
        <v>0</v>
      </c>
      <c r="W419" t="b">
        <v>0</v>
      </c>
    </row>
    <row r="420" spans="1:23" x14ac:dyDescent="0.3">
      <c r="A420">
        <v>2983424</v>
      </c>
      <c r="B420">
        <v>65.52</v>
      </c>
      <c r="C420" t="s">
        <v>993</v>
      </c>
      <c r="D420" t="s">
        <v>994</v>
      </c>
      <c r="E420" t="s">
        <v>23</v>
      </c>
      <c r="F420" t="s">
        <v>44</v>
      </c>
      <c r="G420">
        <v>2022</v>
      </c>
      <c r="H420" t="s">
        <v>69</v>
      </c>
      <c r="I420" t="s">
        <v>995</v>
      </c>
      <c r="J420" t="s">
        <v>996</v>
      </c>
      <c r="K420" t="s">
        <v>25</v>
      </c>
      <c r="L420" t="s">
        <v>26</v>
      </c>
      <c r="M420" t="b">
        <v>1</v>
      </c>
      <c r="N420" t="s">
        <v>997</v>
      </c>
      <c r="O420" t="str">
        <f>"306.7082"</f>
        <v>306.7082</v>
      </c>
      <c r="Q420" t="b">
        <v>0</v>
      </c>
      <c r="S420" t="str">
        <f>"9780310364757"</f>
        <v>9780310364757</v>
      </c>
      <c r="T420" t="str">
        <f>"9780310364771"</f>
        <v>9780310364771</v>
      </c>
      <c r="U420" t="b">
        <v>0</v>
      </c>
      <c r="W420" t="b">
        <v>0</v>
      </c>
    </row>
    <row r="421" spans="1:23" x14ac:dyDescent="0.3">
      <c r="A421">
        <v>2983423</v>
      </c>
      <c r="B421">
        <v>65.52</v>
      </c>
      <c r="C421" t="s">
        <v>998</v>
      </c>
      <c r="D421" t="s">
        <v>999</v>
      </c>
      <c r="E421" t="s">
        <v>23</v>
      </c>
      <c r="F421" t="s">
        <v>44</v>
      </c>
      <c r="G421">
        <v>2022</v>
      </c>
      <c r="H421" t="s">
        <v>58</v>
      </c>
      <c r="I421" t="s">
        <v>1000</v>
      </c>
      <c r="J421" t="s">
        <v>1001</v>
      </c>
      <c r="K421" t="s">
        <v>25</v>
      </c>
      <c r="L421" t="s">
        <v>26</v>
      </c>
      <c r="M421" t="b">
        <v>1</v>
      </c>
      <c r="N421" t="s">
        <v>1002</v>
      </c>
      <c r="O421" t="str">
        <f>"231.7"</f>
        <v>231.7</v>
      </c>
      <c r="Q421" t="b">
        <v>0</v>
      </c>
      <c r="S421" t="str">
        <f>"9780310363798"</f>
        <v>9780310363798</v>
      </c>
      <c r="T421" t="str">
        <f>"9780310363804"</f>
        <v>9780310363804</v>
      </c>
      <c r="U421" t="b">
        <v>0</v>
      </c>
      <c r="W421" t="b">
        <v>0</v>
      </c>
    </row>
    <row r="422" spans="1:23" x14ac:dyDescent="0.3">
      <c r="A422">
        <v>2983422</v>
      </c>
      <c r="B422">
        <v>68.97</v>
      </c>
      <c r="C422" t="s">
        <v>1003</v>
      </c>
      <c r="D422" t="s">
        <v>1004</v>
      </c>
      <c r="E422" t="s">
        <v>23</v>
      </c>
      <c r="F422" t="s">
        <v>44</v>
      </c>
      <c r="G422">
        <v>2022</v>
      </c>
      <c r="H422" t="s">
        <v>132</v>
      </c>
      <c r="K422" t="s">
        <v>25</v>
      </c>
      <c r="L422" t="s">
        <v>26</v>
      </c>
      <c r="M422" t="b">
        <v>1</v>
      </c>
      <c r="N422" t="s">
        <v>1005</v>
      </c>
      <c r="Q422" t="b">
        <v>0</v>
      </c>
      <c r="S422" t="str">
        <f>"9780310363378"</f>
        <v>9780310363378</v>
      </c>
      <c r="T422" t="str">
        <f>"9780310363385"</f>
        <v>9780310363385</v>
      </c>
      <c r="U422" t="b">
        <v>0</v>
      </c>
      <c r="W422" t="b">
        <v>0</v>
      </c>
    </row>
    <row r="423" spans="1:23" x14ac:dyDescent="0.3">
      <c r="A423">
        <v>2983421</v>
      </c>
      <c r="B423">
        <v>65.52</v>
      </c>
      <c r="C423" t="s">
        <v>1006</v>
      </c>
      <c r="D423" t="s">
        <v>1007</v>
      </c>
      <c r="E423" t="s">
        <v>23</v>
      </c>
      <c r="F423" t="s">
        <v>44</v>
      </c>
      <c r="G423">
        <v>2022</v>
      </c>
      <c r="H423" t="s">
        <v>56</v>
      </c>
      <c r="K423" t="s">
        <v>25</v>
      </c>
      <c r="L423" t="s">
        <v>26</v>
      </c>
      <c r="M423" t="b">
        <v>1</v>
      </c>
      <c r="N423" t="s">
        <v>1008</v>
      </c>
      <c r="Q423" t="b">
        <v>0</v>
      </c>
      <c r="S423" t="str">
        <f>"9780310362623"</f>
        <v>9780310362623</v>
      </c>
      <c r="T423" t="str">
        <f>"9780310362630"</f>
        <v>9780310362630</v>
      </c>
      <c r="U423" t="b">
        <v>0</v>
      </c>
      <c r="W423" t="b">
        <v>0</v>
      </c>
    </row>
    <row r="424" spans="1:23" x14ac:dyDescent="0.3">
      <c r="A424">
        <v>2983420</v>
      </c>
      <c r="B424">
        <v>65.52</v>
      </c>
      <c r="C424" t="s">
        <v>1009</v>
      </c>
      <c r="D424" t="s">
        <v>1010</v>
      </c>
      <c r="E424" t="s">
        <v>23</v>
      </c>
      <c r="F424" t="s">
        <v>44</v>
      </c>
      <c r="G424">
        <v>2022</v>
      </c>
      <c r="H424" t="s">
        <v>69</v>
      </c>
      <c r="K424" t="s">
        <v>25</v>
      </c>
      <c r="L424" t="s">
        <v>26</v>
      </c>
      <c r="M424" t="b">
        <v>1</v>
      </c>
      <c r="N424" t="s">
        <v>1011</v>
      </c>
      <c r="Q424" t="b">
        <v>0</v>
      </c>
      <c r="S424" t="str">
        <f>"9780310361749"</f>
        <v>9780310361749</v>
      </c>
      <c r="T424" t="str">
        <f>"9780310361756"</f>
        <v>9780310361756</v>
      </c>
      <c r="U424" t="b">
        <v>0</v>
      </c>
      <c r="W424" t="b">
        <v>0</v>
      </c>
    </row>
    <row r="425" spans="1:23" x14ac:dyDescent="0.3">
      <c r="A425">
        <v>2983419</v>
      </c>
      <c r="B425">
        <v>89.67</v>
      </c>
      <c r="C425" t="s">
        <v>1012</v>
      </c>
      <c r="D425" t="s">
        <v>1013</v>
      </c>
      <c r="E425" t="s">
        <v>23</v>
      </c>
      <c r="F425" t="s">
        <v>44</v>
      </c>
      <c r="G425">
        <v>2022</v>
      </c>
      <c r="H425" t="s">
        <v>731</v>
      </c>
      <c r="K425" t="s">
        <v>25</v>
      </c>
      <c r="L425" t="s">
        <v>26</v>
      </c>
      <c r="M425" t="b">
        <v>1</v>
      </c>
      <c r="N425" t="s">
        <v>1014</v>
      </c>
      <c r="Q425" t="b">
        <v>0</v>
      </c>
      <c r="S425" t="str">
        <f>"9780310361701"</f>
        <v>9780310361701</v>
      </c>
      <c r="T425" t="str">
        <f>"9780310361725"</f>
        <v>9780310361725</v>
      </c>
      <c r="U425" t="b">
        <v>0</v>
      </c>
      <c r="W425" t="b">
        <v>0</v>
      </c>
    </row>
    <row r="426" spans="1:23" x14ac:dyDescent="0.3">
      <c r="A426">
        <v>2983418</v>
      </c>
      <c r="B426">
        <v>93.12</v>
      </c>
      <c r="C426" t="s">
        <v>1015</v>
      </c>
      <c r="D426" t="s">
        <v>1016</v>
      </c>
      <c r="E426" t="s">
        <v>23</v>
      </c>
      <c r="F426" t="s">
        <v>44</v>
      </c>
      <c r="G426">
        <v>2022</v>
      </c>
      <c r="H426" t="s">
        <v>121</v>
      </c>
      <c r="K426" t="s">
        <v>25</v>
      </c>
      <c r="L426" t="s">
        <v>26</v>
      </c>
      <c r="M426" t="b">
        <v>1</v>
      </c>
      <c r="N426" t="s">
        <v>1017</v>
      </c>
      <c r="Q426" t="b">
        <v>0</v>
      </c>
      <c r="S426" t="str">
        <f>"9780310355564"</f>
        <v>9780310355564</v>
      </c>
      <c r="T426" t="str">
        <f>"9780310355571"</f>
        <v>9780310355571</v>
      </c>
      <c r="U426" t="b">
        <v>0</v>
      </c>
      <c r="W426" t="b">
        <v>0</v>
      </c>
    </row>
    <row r="427" spans="1:23" x14ac:dyDescent="0.3">
      <c r="A427">
        <v>2983417</v>
      </c>
      <c r="B427">
        <v>86.22</v>
      </c>
      <c r="C427" t="s">
        <v>1018</v>
      </c>
      <c r="D427" t="s">
        <v>1019</v>
      </c>
      <c r="E427" t="s">
        <v>23</v>
      </c>
      <c r="F427" t="s">
        <v>44</v>
      </c>
      <c r="G427">
        <v>2022</v>
      </c>
      <c r="H427" t="s">
        <v>1020</v>
      </c>
      <c r="K427" t="s">
        <v>25</v>
      </c>
      <c r="L427" t="s">
        <v>26</v>
      </c>
      <c r="M427" t="b">
        <v>1</v>
      </c>
      <c r="N427" t="s">
        <v>1021</v>
      </c>
      <c r="Q427" t="b">
        <v>0</v>
      </c>
      <c r="S427" t="str">
        <f>"9780310129721"</f>
        <v>9780310129721</v>
      </c>
      <c r="T427" t="str">
        <f>"9780310129738"</f>
        <v>9780310129738</v>
      </c>
      <c r="U427" t="b">
        <v>0</v>
      </c>
      <c r="W427" t="b">
        <v>0</v>
      </c>
    </row>
    <row r="428" spans="1:23" x14ac:dyDescent="0.3">
      <c r="A428">
        <v>2983416</v>
      </c>
      <c r="B428">
        <v>86.22</v>
      </c>
      <c r="C428" t="s">
        <v>1022</v>
      </c>
      <c r="D428" t="s">
        <v>1023</v>
      </c>
      <c r="E428" t="s">
        <v>23</v>
      </c>
      <c r="F428" t="s">
        <v>44</v>
      </c>
      <c r="G428">
        <v>2022</v>
      </c>
      <c r="H428" t="s">
        <v>839</v>
      </c>
      <c r="I428" t="s">
        <v>1024</v>
      </c>
      <c r="J428" t="s">
        <v>1025</v>
      </c>
      <c r="K428" t="s">
        <v>25</v>
      </c>
      <c r="L428" t="s">
        <v>26</v>
      </c>
      <c r="M428" t="b">
        <v>1</v>
      </c>
      <c r="N428" t="s">
        <v>1026</v>
      </c>
      <c r="O428" t="str">
        <f>"152.4/6"</f>
        <v>152.4/6</v>
      </c>
      <c r="Q428" t="b">
        <v>0</v>
      </c>
      <c r="S428" t="str">
        <f>"9780310127932"</f>
        <v>9780310127932</v>
      </c>
      <c r="T428" t="str">
        <f>"9780310127949"</f>
        <v>9780310127949</v>
      </c>
      <c r="U428" t="b">
        <v>0</v>
      </c>
      <c r="W428" t="b">
        <v>0</v>
      </c>
    </row>
    <row r="429" spans="1:23" x14ac:dyDescent="0.3">
      <c r="A429">
        <v>2983415</v>
      </c>
      <c r="B429">
        <v>79.319999999999993</v>
      </c>
      <c r="C429" t="s">
        <v>1027</v>
      </c>
      <c r="D429" t="s">
        <v>1028</v>
      </c>
      <c r="E429" t="s">
        <v>23</v>
      </c>
      <c r="F429" t="s">
        <v>44</v>
      </c>
      <c r="G429">
        <v>2022</v>
      </c>
      <c r="H429" t="s">
        <v>58</v>
      </c>
      <c r="K429" t="s">
        <v>25</v>
      </c>
      <c r="L429" t="s">
        <v>26</v>
      </c>
      <c r="M429" t="b">
        <v>1</v>
      </c>
      <c r="N429" t="s">
        <v>1029</v>
      </c>
      <c r="Q429" t="b">
        <v>0</v>
      </c>
      <c r="S429" t="str">
        <f>"9780310127901"</f>
        <v>9780310127901</v>
      </c>
      <c r="T429" t="str">
        <f>"9780310127918"</f>
        <v>9780310127918</v>
      </c>
      <c r="U429" t="b">
        <v>0</v>
      </c>
      <c r="W429" t="b">
        <v>0</v>
      </c>
    </row>
    <row r="430" spans="1:23" x14ac:dyDescent="0.3">
      <c r="A430">
        <v>2983414</v>
      </c>
      <c r="B430">
        <v>68.97</v>
      </c>
      <c r="C430" t="s">
        <v>1030</v>
      </c>
      <c r="D430" t="s">
        <v>1031</v>
      </c>
      <c r="E430" t="s">
        <v>23</v>
      </c>
      <c r="F430" t="s">
        <v>44</v>
      </c>
      <c r="G430">
        <v>2022</v>
      </c>
      <c r="H430" t="s">
        <v>1032</v>
      </c>
      <c r="I430" t="s">
        <v>1033</v>
      </c>
      <c r="J430" t="s">
        <v>1034</v>
      </c>
      <c r="K430" t="s">
        <v>25</v>
      </c>
      <c r="L430" t="s">
        <v>26</v>
      </c>
      <c r="M430" t="b">
        <v>1</v>
      </c>
      <c r="N430" t="s">
        <v>1035</v>
      </c>
      <c r="O430" t="str">
        <f>"261.8/357"</f>
        <v>261.8/357</v>
      </c>
      <c r="Q430" t="b">
        <v>0</v>
      </c>
      <c r="S430" t="str">
        <f>"9780310125648"</f>
        <v>9780310125648</v>
      </c>
      <c r="T430" t="str">
        <f>"9780310125655"</f>
        <v>9780310125655</v>
      </c>
      <c r="U430" t="b">
        <v>0</v>
      </c>
      <c r="W430" t="b">
        <v>0</v>
      </c>
    </row>
    <row r="431" spans="1:23" x14ac:dyDescent="0.3">
      <c r="A431">
        <v>2983413</v>
      </c>
      <c r="B431">
        <v>68.97</v>
      </c>
      <c r="C431" t="s">
        <v>1036</v>
      </c>
      <c r="D431" t="s">
        <v>754</v>
      </c>
      <c r="E431" t="s">
        <v>23</v>
      </c>
      <c r="F431" t="s">
        <v>44</v>
      </c>
      <c r="G431">
        <v>2021</v>
      </c>
      <c r="H431" t="s">
        <v>58</v>
      </c>
      <c r="K431" t="s">
        <v>25</v>
      </c>
      <c r="L431" t="s">
        <v>26</v>
      </c>
      <c r="M431" t="b">
        <v>1</v>
      </c>
      <c r="N431" t="s">
        <v>755</v>
      </c>
      <c r="Q431" t="b">
        <v>0</v>
      </c>
      <c r="S431" t="str">
        <f>"9780310120155"</f>
        <v>9780310120155</v>
      </c>
      <c r="T431" t="str">
        <f>"9780310120162"</f>
        <v>9780310120162</v>
      </c>
      <c r="U431" t="b">
        <v>0</v>
      </c>
      <c r="W431" t="b">
        <v>0</v>
      </c>
    </row>
    <row r="432" spans="1:23" x14ac:dyDescent="0.3">
      <c r="A432">
        <v>2983412</v>
      </c>
      <c r="B432">
        <v>75.87</v>
      </c>
      <c r="C432" t="s">
        <v>1037</v>
      </c>
      <c r="D432" t="s">
        <v>1038</v>
      </c>
      <c r="E432" t="s">
        <v>23</v>
      </c>
      <c r="F432" t="s">
        <v>44</v>
      </c>
      <c r="G432">
        <v>2022</v>
      </c>
      <c r="H432" t="s">
        <v>70</v>
      </c>
      <c r="I432" t="s">
        <v>1039</v>
      </c>
      <c r="J432" t="s">
        <v>1040</v>
      </c>
      <c r="K432" t="s">
        <v>25</v>
      </c>
      <c r="L432" t="s">
        <v>26</v>
      </c>
      <c r="M432" t="b">
        <v>1</v>
      </c>
      <c r="N432" t="s">
        <v>1041</v>
      </c>
      <c r="O432" t="str">
        <f>"200"</f>
        <v>200</v>
      </c>
      <c r="Q432" t="b">
        <v>0</v>
      </c>
      <c r="S432" t="str">
        <f>"9780310118336"</f>
        <v>9780310118336</v>
      </c>
      <c r="T432" t="str">
        <f>"9780310118343"</f>
        <v>9780310118343</v>
      </c>
      <c r="U432" t="b">
        <v>0</v>
      </c>
      <c r="W432" t="b">
        <v>0</v>
      </c>
    </row>
    <row r="433" spans="1:23" x14ac:dyDescent="0.3">
      <c r="A433">
        <v>2983411</v>
      </c>
      <c r="B433">
        <v>65.52</v>
      </c>
      <c r="C433" t="s">
        <v>1042</v>
      </c>
      <c r="D433" t="s">
        <v>1043</v>
      </c>
      <c r="E433" t="s">
        <v>23</v>
      </c>
      <c r="F433" t="s">
        <v>44</v>
      </c>
      <c r="G433">
        <v>2022</v>
      </c>
      <c r="H433" t="s">
        <v>1044</v>
      </c>
      <c r="K433" t="s">
        <v>25</v>
      </c>
      <c r="L433" t="s">
        <v>26</v>
      </c>
      <c r="M433" t="b">
        <v>1</v>
      </c>
      <c r="N433" t="s">
        <v>1045</v>
      </c>
      <c r="Q433" t="b">
        <v>0</v>
      </c>
      <c r="S433" t="str">
        <f>"9780310114604"</f>
        <v>9780310114604</v>
      </c>
      <c r="T433" t="str">
        <f>"9780310114611"</f>
        <v>9780310114611</v>
      </c>
      <c r="U433" t="b">
        <v>0</v>
      </c>
      <c r="W433" t="b">
        <v>0</v>
      </c>
    </row>
    <row r="434" spans="1:23" x14ac:dyDescent="0.3">
      <c r="A434">
        <v>2983410</v>
      </c>
      <c r="B434">
        <v>65.52</v>
      </c>
      <c r="C434" t="s">
        <v>1046</v>
      </c>
      <c r="D434" t="s">
        <v>1047</v>
      </c>
      <c r="E434" t="s">
        <v>23</v>
      </c>
      <c r="F434" t="s">
        <v>44</v>
      </c>
      <c r="G434">
        <v>2022</v>
      </c>
      <c r="H434" t="s">
        <v>736</v>
      </c>
      <c r="I434" t="s">
        <v>1048</v>
      </c>
      <c r="J434" t="s">
        <v>1049</v>
      </c>
      <c r="K434" t="s">
        <v>25</v>
      </c>
      <c r="L434" t="s">
        <v>26</v>
      </c>
      <c r="M434" t="b">
        <v>1</v>
      </c>
      <c r="N434" t="s">
        <v>1050</v>
      </c>
      <c r="O434" t="str">
        <f>"248.4"</f>
        <v>248.4</v>
      </c>
      <c r="Q434" t="b">
        <v>0</v>
      </c>
      <c r="S434" t="str">
        <f>"9780310114444"</f>
        <v>9780310114444</v>
      </c>
      <c r="T434" t="str">
        <f>"9780310114451"</f>
        <v>9780310114451</v>
      </c>
      <c r="U434" t="b">
        <v>0</v>
      </c>
      <c r="W434" t="b">
        <v>0</v>
      </c>
    </row>
    <row r="435" spans="1:23" x14ac:dyDescent="0.3">
      <c r="A435">
        <v>2983409</v>
      </c>
      <c r="B435">
        <v>62.07</v>
      </c>
      <c r="C435" t="s">
        <v>1051</v>
      </c>
      <c r="D435" t="s">
        <v>1052</v>
      </c>
      <c r="E435" t="s">
        <v>23</v>
      </c>
      <c r="F435" t="s">
        <v>44</v>
      </c>
      <c r="G435">
        <v>2022</v>
      </c>
      <c r="H435" t="s">
        <v>45</v>
      </c>
      <c r="K435" t="s">
        <v>25</v>
      </c>
      <c r="L435" t="s">
        <v>26</v>
      </c>
      <c r="M435" t="b">
        <v>1</v>
      </c>
      <c r="N435" t="s">
        <v>1053</v>
      </c>
      <c r="Q435" t="b">
        <v>0</v>
      </c>
      <c r="S435" t="str">
        <f>"9780310460114"</f>
        <v>9780310460114</v>
      </c>
      <c r="T435" t="str">
        <f>"9780310460145"</f>
        <v>9780310460145</v>
      </c>
      <c r="U435" t="b">
        <v>0</v>
      </c>
      <c r="W435" t="b">
        <v>0</v>
      </c>
    </row>
    <row r="436" spans="1:23" x14ac:dyDescent="0.3">
      <c r="A436">
        <v>2983408</v>
      </c>
      <c r="B436">
        <v>137.97</v>
      </c>
      <c r="C436" t="s">
        <v>1054</v>
      </c>
      <c r="D436" t="s">
        <v>1055</v>
      </c>
      <c r="E436" t="s">
        <v>23</v>
      </c>
      <c r="F436" t="s">
        <v>44</v>
      </c>
      <c r="G436">
        <v>2021</v>
      </c>
      <c r="H436" t="s">
        <v>1056</v>
      </c>
      <c r="K436" t="s">
        <v>25</v>
      </c>
      <c r="L436" t="s">
        <v>26</v>
      </c>
      <c r="M436" t="b">
        <v>1</v>
      </c>
      <c r="N436" t="s">
        <v>1057</v>
      </c>
      <c r="Q436" t="b">
        <v>0</v>
      </c>
      <c r="S436" t="str">
        <f>"9780310454397"</f>
        <v>9780310454397</v>
      </c>
      <c r="T436" t="str">
        <f>"9780310460091"</f>
        <v>9780310460091</v>
      </c>
      <c r="U436" t="b">
        <v>0</v>
      </c>
      <c r="W436" t="b">
        <v>0</v>
      </c>
    </row>
    <row r="437" spans="1:23" x14ac:dyDescent="0.3">
      <c r="A437">
        <v>2983407</v>
      </c>
      <c r="B437">
        <v>58.62</v>
      </c>
      <c r="C437" t="s">
        <v>1058</v>
      </c>
      <c r="D437" t="s">
        <v>1059</v>
      </c>
      <c r="E437" t="s">
        <v>23</v>
      </c>
      <c r="F437" t="s">
        <v>44</v>
      </c>
      <c r="G437">
        <v>2021</v>
      </c>
      <c r="H437" t="s">
        <v>132</v>
      </c>
      <c r="K437" t="s">
        <v>25</v>
      </c>
      <c r="L437" t="s">
        <v>26</v>
      </c>
      <c r="M437" t="b">
        <v>1</v>
      </c>
      <c r="N437" t="s">
        <v>711</v>
      </c>
      <c r="Q437" t="b">
        <v>0</v>
      </c>
      <c r="S437" t="str">
        <f>"9780310455745"</f>
        <v>9780310455745</v>
      </c>
      <c r="T437" t="str">
        <f>"9780310455738"</f>
        <v>9780310455738</v>
      </c>
      <c r="U437" t="b">
        <v>0</v>
      </c>
      <c r="W437" t="b">
        <v>0</v>
      </c>
    </row>
    <row r="438" spans="1:23" x14ac:dyDescent="0.3">
      <c r="A438">
        <v>2983406</v>
      </c>
      <c r="B438">
        <v>55.17</v>
      </c>
      <c r="C438" t="s">
        <v>1060</v>
      </c>
      <c r="D438" t="s">
        <v>1061</v>
      </c>
      <c r="E438" t="s">
        <v>23</v>
      </c>
      <c r="F438" t="s">
        <v>44</v>
      </c>
      <c r="G438">
        <v>2021</v>
      </c>
      <c r="H438" t="s">
        <v>772</v>
      </c>
      <c r="K438" t="s">
        <v>25</v>
      </c>
      <c r="L438" t="s">
        <v>26</v>
      </c>
      <c r="M438" t="b">
        <v>1</v>
      </c>
      <c r="N438" t="s">
        <v>1062</v>
      </c>
      <c r="Q438" t="b">
        <v>1</v>
      </c>
      <c r="S438" t="str">
        <f>"9780310365853"</f>
        <v>9780310365853</v>
      </c>
      <c r="T438" t="str">
        <f>"9780310365860"</f>
        <v>9780310365860</v>
      </c>
      <c r="U438" t="b">
        <v>0</v>
      </c>
      <c r="W438" t="b">
        <v>0</v>
      </c>
    </row>
    <row r="439" spans="1:23" x14ac:dyDescent="0.3">
      <c r="A439">
        <v>2983405</v>
      </c>
      <c r="B439">
        <v>113.68</v>
      </c>
      <c r="C439" t="s">
        <v>1063</v>
      </c>
      <c r="D439" t="s">
        <v>1064</v>
      </c>
      <c r="E439" t="s">
        <v>23</v>
      </c>
      <c r="F439" t="s">
        <v>44</v>
      </c>
      <c r="G439">
        <v>2021</v>
      </c>
      <c r="H439" t="s">
        <v>772</v>
      </c>
      <c r="K439" t="s">
        <v>25</v>
      </c>
      <c r="L439" t="s">
        <v>30</v>
      </c>
      <c r="M439" t="b">
        <v>1</v>
      </c>
      <c r="N439" t="s">
        <v>776</v>
      </c>
      <c r="P439" t="s">
        <v>1065</v>
      </c>
      <c r="Q439" t="b">
        <v>1</v>
      </c>
      <c r="T439" t="str">
        <f>"9780310365815"</f>
        <v>9780310365815</v>
      </c>
      <c r="U439" t="b">
        <v>0</v>
      </c>
      <c r="W439" t="b">
        <v>0</v>
      </c>
    </row>
    <row r="440" spans="1:23" x14ac:dyDescent="0.3">
      <c r="A440">
        <v>2983404</v>
      </c>
      <c r="B440">
        <v>55.17</v>
      </c>
      <c r="C440" t="s">
        <v>1066</v>
      </c>
      <c r="E440" t="s">
        <v>23</v>
      </c>
      <c r="F440" t="s">
        <v>44</v>
      </c>
      <c r="G440">
        <v>2022</v>
      </c>
      <c r="H440" t="s">
        <v>772</v>
      </c>
      <c r="K440" t="s">
        <v>25</v>
      </c>
      <c r="L440" t="s">
        <v>26</v>
      </c>
      <c r="M440" t="b">
        <v>1</v>
      </c>
      <c r="N440" t="s">
        <v>776</v>
      </c>
      <c r="P440" t="s">
        <v>777</v>
      </c>
      <c r="Q440" t="b">
        <v>1</v>
      </c>
      <c r="S440" t="str">
        <f>"9780310364290"</f>
        <v>9780310364290</v>
      </c>
      <c r="T440" t="str">
        <f>"9780310364313"</f>
        <v>9780310364313</v>
      </c>
      <c r="U440" t="b">
        <v>0</v>
      </c>
      <c r="W440" t="b">
        <v>0</v>
      </c>
    </row>
    <row r="441" spans="1:23" x14ac:dyDescent="0.3">
      <c r="A441">
        <v>2983403</v>
      </c>
      <c r="B441">
        <v>65.52</v>
      </c>
      <c r="C441" t="s">
        <v>1067</v>
      </c>
      <c r="D441" t="s">
        <v>1068</v>
      </c>
      <c r="E441" t="s">
        <v>23</v>
      </c>
      <c r="F441" t="s">
        <v>44</v>
      </c>
      <c r="G441">
        <v>2021</v>
      </c>
      <c r="H441" t="s">
        <v>107</v>
      </c>
      <c r="I441" t="s">
        <v>1069</v>
      </c>
      <c r="J441" t="s">
        <v>1070</v>
      </c>
      <c r="K441" t="s">
        <v>25</v>
      </c>
      <c r="L441" t="s">
        <v>26</v>
      </c>
      <c r="M441" t="b">
        <v>1</v>
      </c>
      <c r="N441" t="s">
        <v>1071</v>
      </c>
      <c r="O441" t="str">
        <f>"001.5"</f>
        <v>001.5</v>
      </c>
      <c r="Q441" t="b">
        <v>0</v>
      </c>
      <c r="S441" t="str">
        <f>"9780310363408"</f>
        <v>9780310363408</v>
      </c>
      <c r="T441" t="str">
        <f>"9780310363422"</f>
        <v>9780310363422</v>
      </c>
      <c r="U441" t="b">
        <v>0</v>
      </c>
      <c r="W441" t="b">
        <v>0</v>
      </c>
    </row>
    <row r="442" spans="1:23" x14ac:dyDescent="0.3">
      <c r="A442">
        <v>2983402</v>
      </c>
      <c r="B442">
        <v>68.97</v>
      </c>
      <c r="C442" t="s">
        <v>1072</v>
      </c>
      <c r="D442" t="s">
        <v>1073</v>
      </c>
      <c r="E442" t="s">
        <v>23</v>
      </c>
      <c r="F442" t="s">
        <v>44</v>
      </c>
      <c r="G442">
        <v>2021</v>
      </c>
      <c r="H442" t="s">
        <v>132</v>
      </c>
      <c r="K442" t="s">
        <v>25</v>
      </c>
      <c r="L442" t="s">
        <v>26</v>
      </c>
      <c r="M442" t="b">
        <v>1</v>
      </c>
      <c r="N442" t="s">
        <v>1005</v>
      </c>
      <c r="Q442" t="b">
        <v>0</v>
      </c>
      <c r="S442" t="str">
        <f>"9780310363347"</f>
        <v>9780310363347</v>
      </c>
      <c r="T442" t="str">
        <f>"9780310363354"</f>
        <v>9780310363354</v>
      </c>
      <c r="U442" t="b">
        <v>0</v>
      </c>
      <c r="W442" t="b">
        <v>0</v>
      </c>
    </row>
    <row r="443" spans="1:23" x14ac:dyDescent="0.3">
      <c r="A443">
        <v>2983401</v>
      </c>
      <c r="B443">
        <v>93.12</v>
      </c>
      <c r="C443" t="s">
        <v>1074</v>
      </c>
      <c r="D443" t="s">
        <v>1075</v>
      </c>
      <c r="E443" t="s">
        <v>23</v>
      </c>
      <c r="F443" t="s">
        <v>44</v>
      </c>
      <c r="G443">
        <v>2021</v>
      </c>
      <c r="H443" t="s">
        <v>1076</v>
      </c>
      <c r="K443" t="s">
        <v>25</v>
      </c>
      <c r="L443" t="s">
        <v>26</v>
      </c>
      <c r="M443" t="b">
        <v>1</v>
      </c>
      <c r="N443" t="s">
        <v>1077</v>
      </c>
      <c r="Q443" t="b">
        <v>0</v>
      </c>
      <c r="S443" t="str">
        <f>"9780310363187"</f>
        <v>9780310363187</v>
      </c>
      <c r="T443" t="str">
        <f>"9780310363200"</f>
        <v>9780310363200</v>
      </c>
      <c r="U443" t="b">
        <v>0</v>
      </c>
      <c r="W443" t="b">
        <v>0</v>
      </c>
    </row>
    <row r="444" spans="1:23" x14ac:dyDescent="0.3">
      <c r="A444">
        <v>2983400</v>
      </c>
      <c r="B444">
        <v>68.97</v>
      </c>
      <c r="C444" t="s">
        <v>1078</v>
      </c>
      <c r="D444" t="s">
        <v>1079</v>
      </c>
      <c r="E444" t="s">
        <v>23</v>
      </c>
      <c r="F444" t="s">
        <v>44</v>
      </c>
      <c r="G444">
        <v>2021</v>
      </c>
      <c r="H444" t="s">
        <v>1080</v>
      </c>
      <c r="I444" t="s">
        <v>1081</v>
      </c>
      <c r="J444" t="s">
        <v>1082</v>
      </c>
      <c r="K444" t="s">
        <v>25</v>
      </c>
      <c r="L444" t="s">
        <v>26</v>
      </c>
      <c r="M444" t="b">
        <v>1</v>
      </c>
      <c r="N444" t="s">
        <v>1083</v>
      </c>
      <c r="O444" t="str">
        <f>"248.4"</f>
        <v>248.4</v>
      </c>
      <c r="Q444" t="b">
        <v>0</v>
      </c>
      <c r="S444" t="str">
        <f>"9780310362937"</f>
        <v>9780310362937</v>
      </c>
      <c r="T444" t="str">
        <f>"9780310362944"</f>
        <v>9780310362944</v>
      </c>
      <c r="U444" t="b">
        <v>0</v>
      </c>
      <c r="W444" t="b">
        <v>0</v>
      </c>
    </row>
    <row r="445" spans="1:23" x14ac:dyDescent="0.3">
      <c r="A445">
        <v>2983399</v>
      </c>
      <c r="B445">
        <v>93.12</v>
      </c>
      <c r="C445" t="s">
        <v>1084</v>
      </c>
      <c r="D445" t="s">
        <v>1085</v>
      </c>
      <c r="E445" t="s">
        <v>23</v>
      </c>
      <c r="F445" t="s">
        <v>44</v>
      </c>
      <c r="G445">
        <v>2021</v>
      </c>
      <c r="H445" t="s">
        <v>69</v>
      </c>
      <c r="I445" t="s">
        <v>1086</v>
      </c>
      <c r="J445" t="s">
        <v>1087</v>
      </c>
      <c r="K445" t="s">
        <v>25</v>
      </c>
      <c r="L445" t="s">
        <v>26</v>
      </c>
      <c r="M445" t="b">
        <v>1</v>
      </c>
      <c r="N445" t="s">
        <v>1088</v>
      </c>
      <c r="O445" t="str">
        <f>"261.8/35"</f>
        <v>261.8/35</v>
      </c>
      <c r="Q445" t="b">
        <v>0</v>
      </c>
      <c r="S445" t="str">
        <f>"9780310362548"</f>
        <v>9780310362548</v>
      </c>
      <c r="T445" t="str">
        <f>"9780310362555"</f>
        <v>9780310362555</v>
      </c>
      <c r="U445" t="b">
        <v>0</v>
      </c>
      <c r="W445" t="b">
        <v>0</v>
      </c>
    </row>
    <row r="446" spans="1:23" x14ac:dyDescent="0.3">
      <c r="A446">
        <v>2983398</v>
      </c>
      <c r="B446">
        <v>89.67</v>
      </c>
      <c r="C446" t="s">
        <v>1089</v>
      </c>
      <c r="D446" t="s">
        <v>1090</v>
      </c>
      <c r="E446" t="s">
        <v>23</v>
      </c>
      <c r="F446" t="s">
        <v>44</v>
      </c>
      <c r="G446">
        <v>2022</v>
      </c>
      <c r="H446" t="s">
        <v>99</v>
      </c>
      <c r="K446" t="s">
        <v>25</v>
      </c>
      <c r="L446" t="s">
        <v>26</v>
      </c>
      <c r="M446" t="b">
        <v>1</v>
      </c>
      <c r="N446" t="s">
        <v>1091</v>
      </c>
      <c r="Q446" t="b">
        <v>0</v>
      </c>
      <c r="S446" t="str">
        <f>"9780310361909"</f>
        <v>9780310361909</v>
      </c>
      <c r="T446" t="str">
        <f>"9780310361923"</f>
        <v>9780310361923</v>
      </c>
      <c r="U446" t="b">
        <v>0</v>
      </c>
      <c r="W446" t="b">
        <v>0</v>
      </c>
    </row>
    <row r="447" spans="1:23" x14ac:dyDescent="0.3">
      <c r="A447">
        <v>2983397</v>
      </c>
      <c r="B447">
        <v>14.18</v>
      </c>
      <c r="C447" t="s">
        <v>1092</v>
      </c>
      <c r="D447" t="s">
        <v>961</v>
      </c>
      <c r="E447" t="s">
        <v>23</v>
      </c>
      <c r="F447" t="s">
        <v>44</v>
      </c>
      <c r="G447">
        <v>2021</v>
      </c>
      <c r="H447" t="s">
        <v>772</v>
      </c>
      <c r="K447" t="s">
        <v>25</v>
      </c>
      <c r="L447" t="s">
        <v>30</v>
      </c>
      <c r="M447" t="b">
        <v>1</v>
      </c>
      <c r="N447" t="s">
        <v>773</v>
      </c>
      <c r="Q447" t="b">
        <v>1</v>
      </c>
      <c r="T447" t="str">
        <f>"9780310361442"</f>
        <v>9780310361442</v>
      </c>
      <c r="U447" t="b">
        <v>0</v>
      </c>
      <c r="W447" t="b">
        <v>0</v>
      </c>
    </row>
    <row r="448" spans="1:23" x14ac:dyDescent="0.3">
      <c r="A448">
        <v>2983396</v>
      </c>
      <c r="B448">
        <v>14.18</v>
      </c>
      <c r="C448" t="s">
        <v>1093</v>
      </c>
      <c r="D448" t="s">
        <v>961</v>
      </c>
      <c r="E448" t="s">
        <v>23</v>
      </c>
      <c r="F448" t="s">
        <v>44</v>
      </c>
      <c r="G448">
        <v>2021</v>
      </c>
      <c r="H448" t="s">
        <v>772</v>
      </c>
      <c r="K448" t="s">
        <v>25</v>
      </c>
      <c r="L448" t="s">
        <v>30</v>
      </c>
      <c r="M448" t="b">
        <v>1</v>
      </c>
      <c r="N448" t="s">
        <v>742</v>
      </c>
      <c r="Q448" t="b">
        <v>1</v>
      </c>
      <c r="T448" t="str">
        <f>"9780310361435"</f>
        <v>9780310361435</v>
      </c>
      <c r="U448" t="b">
        <v>0</v>
      </c>
      <c r="W448" t="b">
        <v>0</v>
      </c>
    </row>
    <row r="449" spans="1:23" x14ac:dyDescent="0.3">
      <c r="A449">
        <v>2983395</v>
      </c>
      <c r="B449">
        <v>14.18</v>
      </c>
      <c r="C449" t="s">
        <v>1094</v>
      </c>
      <c r="D449" t="s">
        <v>961</v>
      </c>
      <c r="E449" t="s">
        <v>23</v>
      </c>
      <c r="F449" t="s">
        <v>44</v>
      </c>
      <c r="G449">
        <v>2021</v>
      </c>
      <c r="H449" t="s">
        <v>772</v>
      </c>
      <c r="K449" t="s">
        <v>25</v>
      </c>
      <c r="L449" t="s">
        <v>30</v>
      </c>
      <c r="M449" t="b">
        <v>1</v>
      </c>
      <c r="N449" t="s">
        <v>776</v>
      </c>
      <c r="Q449" t="b">
        <v>1</v>
      </c>
      <c r="T449" t="str">
        <f>"9780310361428"</f>
        <v>9780310361428</v>
      </c>
      <c r="U449" t="b">
        <v>0</v>
      </c>
      <c r="W449" t="b">
        <v>0</v>
      </c>
    </row>
    <row r="450" spans="1:23" x14ac:dyDescent="0.3">
      <c r="A450">
        <v>2983394</v>
      </c>
      <c r="B450">
        <v>86.22</v>
      </c>
      <c r="C450" t="s">
        <v>1095</v>
      </c>
      <c r="D450" t="s">
        <v>1096</v>
      </c>
      <c r="E450" t="s">
        <v>23</v>
      </c>
      <c r="F450" t="s">
        <v>44</v>
      </c>
      <c r="G450">
        <v>2022</v>
      </c>
      <c r="H450" t="s">
        <v>804</v>
      </c>
      <c r="I450" t="s">
        <v>1097</v>
      </c>
      <c r="J450" t="s">
        <v>1098</v>
      </c>
      <c r="K450" t="s">
        <v>25</v>
      </c>
      <c r="L450" t="s">
        <v>26</v>
      </c>
      <c r="M450" t="b">
        <v>1</v>
      </c>
      <c r="N450" t="s">
        <v>1099</v>
      </c>
      <c r="O450" t="str">
        <f>"658.4/092"</f>
        <v>658.4/092</v>
      </c>
      <c r="Q450" t="b">
        <v>0</v>
      </c>
      <c r="S450" t="str">
        <f>"9780310124450"</f>
        <v>9780310124450</v>
      </c>
      <c r="T450" t="str">
        <f>"9780310124467"</f>
        <v>9780310124467</v>
      </c>
      <c r="U450" t="b">
        <v>0</v>
      </c>
      <c r="W450" t="b">
        <v>0</v>
      </c>
    </row>
    <row r="451" spans="1:23" x14ac:dyDescent="0.3">
      <c r="A451">
        <v>2983393</v>
      </c>
      <c r="B451">
        <v>65.52</v>
      </c>
      <c r="C451" t="s">
        <v>1100</v>
      </c>
      <c r="D451" t="s">
        <v>1101</v>
      </c>
      <c r="E451" t="s">
        <v>23</v>
      </c>
      <c r="F451" t="s">
        <v>44</v>
      </c>
      <c r="G451">
        <v>2022</v>
      </c>
      <c r="H451" t="s">
        <v>107</v>
      </c>
      <c r="I451" t="s">
        <v>906</v>
      </c>
      <c r="J451" t="s">
        <v>1102</v>
      </c>
      <c r="K451" t="s">
        <v>25</v>
      </c>
      <c r="L451" t="s">
        <v>26</v>
      </c>
      <c r="M451" t="b">
        <v>1</v>
      </c>
      <c r="N451" t="s">
        <v>1103</v>
      </c>
      <c r="O451" t="str">
        <f>"277.30089"</f>
        <v>277.30089</v>
      </c>
      <c r="Q451" t="b">
        <v>0</v>
      </c>
      <c r="S451" t="str">
        <f>"9780310124429"</f>
        <v>9780310124429</v>
      </c>
      <c r="T451" t="str">
        <f>"9780310124436"</f>
        <v>9780310124436</v>
      </c>
      <c r="U451" t="b">
        <v>0</v>
      </c>
      <c r="W451" t="b">
        <v>0</v>
      </c>
    </row>
    <row r="452" spans="1:23" x14ac:dyDescent="0.3">
      <c r="A452">
        <v>2983392</v>
      </c>
      <c r="B452">
        <v>172.47</v>
      </c>
      <c r="C452" t="s">
        <v>1104</v>
      </c>
      <c r="E452" t="s">
        <v>23</v>
      </c>
      <c r="F452" t="s">
        <v>44</v>
      </c>
      <c r="G452">
        <v>2021</v>
      </c>
      <c r="H452" t="s">
        <v>1105</v>
      </c>
      <c r="K452" t="s">
        <v>25</v>
      </c>
      <c r="L452" t="s">
        <v>26</v>
      </c>
      <c r="M452" t="b">
        <v>1</v>
      </c>
      <c r="N452" t="s">
        <v>44</v>
      </c>
      <c r="Q452" t="b">
        <v>0</v>
      </c>
      <c r="S452" t="str">
        <f>"9780310447122"</f>
        <v>9780310447122</v>
      </c>
      <c r="T452" t="str">
        <f>"9780310447375"</f>
        <v>9780310447375</v>
      </c>
      <c r="U452" t="b">
        <v>0</v>
      </c>
      <c r="W452" t="b">
        <v>0</v>
      </c>
    </row>
    <row r="453" spans="1:23" x14ac:dyDescent="0.3">
      <c r="A453">
        <v>2983391</v>
      </c>
      <c r="B453">
        <v>103.47</v>
      </c>
      <c r="C453" t="s">
        <v>1106</v>
      </c>
      <c r="D453" t="s">
        <v>1107</v>
      </c>
      <c r="E453" t="s">
        <v>23</v>
      </c>
      <c r="F453" t="s">
        <v>44</v>
      </c>
      <c r="G453">
        <v>2021</v>
      </c>
      <c r="H453" t="s">
        <v>1108</v>
      </c>
      <c r="K453" t="s">
        <v>25</v>
      </c>
      <c r="L453" t="s">
        <v>26</v>
      </c>
      <c r="M453" t="b">
        <v>1</v>
      </c>
      <c r="N453" t="s">
        <v>1109</v>
      </c>
      <c r="Q453" t="b">
        <v>0</v>
      </c>
      <c r="S453" t="str">
        <f>"9780310458272"</f>
        <v>9780310458272</v>
      </c>
      <c r="T453" t="str">
        <f>"9780310458265"</f>
        <v>9780310458265</v>
      </c>
      <c r="U453" t="b">
        <v>0</v>
      </c>
      <c r="W453" t="b">
        <v>0</v>
      </c>
    </row>
    <row r="454" spans="1:23" x14ac:dyDescent="0.3">
      <c r="A454">
        <v>2983390</v>
      </c>
      <c r="B454">
        <v>68.97</v>
      </c>
      <c r="C454" t="s">
        <v>1110</v>
      </c>
      <c r="D454" t="s">
        <v>1111</v>
      </c>
      <c r="E454" t="s">
        <v>23</v>
      </c>
      <c r="F454" t="s">
        <v>44</v>
      </c>
      <c r="G454">
        <v>2021</v>
      </c>
      <c r="H454" t="s">
        <v>1112</v>
      </c>
      <c r="K454" t="s">
        <v>25</v>
      </c>
      <c r="L454" t="s">
        <v>26</v>
      </c>
      <c r="M454" t="b">
        <v>1</v>
      </c>
      <c r="N454" t="s">
        <v>1113</v>
      </c>
      <c r="Q454" t="b">
        <v>0</v>
      </c>
      <c r="S454" t="str">
        <f>"9780310457572"</f>
        <v>9780310457572</v>
      </c>
      <c r="T454" t="str">
        <f>"9780310457558"</f>
        <v>9780310457558</v>
      </c>
      <c r="U454" t="b">
        <v>0</v>
      </c>
      <c r="W454" t="b">
        <v>0</v>
      </c>
    </row>
    <row r="455" spans="1:23" x14ac:dyDescent="0.3">
      <c r="A455">
        <v>2983389</v>
      </c>
      <c r="B455">
        <v>65.52</v>
      </c>
      <c r="C455" t="s">
        <v>1114</v>
      </c>
      <c r="D455" t="s">
        <v>1115</v>
      </c>
      <c r="E455" t="s">
        <v>23</v>
      </c>
      <c r="F455" t="s">
        <v>44</v>
      </c>
      <c r="G455">
        <v>2021</v>
      </c>
      <c r="H455" t="s">
        <v>58</v>
      </c>
      <c r="K455" t="s">
        <v>25</v>
      </c>
      <c r="L455" t="s">
        <v>26</v>
      </c>
      <c r="M455" t="b">
        <v>1</v>
      </c>
      <c r="N455" t="s">
        <v>1116</v>
      </c>
      <c r="Q455" t="b">
        <v>0</v>
      </c>
      <c r="S455" t="str">
        <f>"9780310362869"</f>
        <v>9780310362869</v>
      </c>
      <c r="T455" t="str">
        <f>"9780310362876"</f>
        <v>9780310362876</v>
      </c>
      <c r="U455" t="b">
        <v>0</v>
      </c>
      <c r="W455" t="b">
        <v>0</v>
      </c>
    </row>
    <row r="456" spans="1:23" x14ac:dyDescent="0.3">
      <c r="A456">
        <v>2983388</v>
      </c>
      <c r="B456">
        <v>89.67</v>
      </c>
      <c r="C456" t="s">
        <v>1117</v>
      </c>
      <c r="D456" t="s">
        <v>1118</v>
      </c>
      <c r="E456" t="s">
        <v>23</v>
      </c>
      <c r="F456" t="s">
        <v>44</v>
      </c>
      <c r="G456">
        <v>2021</v>
      </c>
      <c r="H456" t="s">
        <v>121</v>
      </c>
      <c r="K456" t="s">
        <v>25</v>
      </c>
      <c r="L456" t="s">
        <v>26</v>
      </c>
      <c r="M456" t="b">
        <v>1</v>
      </c>
      <c r="N456" t="s">
        <v>1119</v>
      </c>
      <c r="Q456" t="b">
        <v>0</v>
      </c>
      <c r="S456" t="str">
        <f>"9780310362326"</f>
        <v>9780310362326</v>
      </c>
      <c r="T456" t="str">
        <f>"9780310362333"</f>
        <v>9780310362333</v>
      </c>
      <c r="U456" t="b">
        <v>0</v>
      </c>
      <c r="W456" t="b">
        <v>0</v>
      </c>
    </row>
    <row r="457" spans="1:23" x14ac:dyDescent="0.3">
      <c r="A457">
        <v>2983386</v>
      </c>
      <c r="B457">
        <v>65.52</v>
      </c>
      <c r="C457" t="s">
        <v>1120</v>
      </c>
      <c r="D457" t="s">
        <v>1121</v>
      </c>
      <c r="E457" t="s">
        <v>23</v>
      </c>
      <c r="F457" t="s">
        <v>44</v>
      </c>
      <c r="G457">
        <v>2021</v>
      </c>
      <c r="H457" t="s">
        <v>1122</v>
      </c>
      <c r="K457" t="s">
        <v>25</v>
      </c>
      <c r="L457" t="s">
        <v>26</v>
      </c>
      <c r="M457" t="b">
        <v>1</v>
      </c>
      <c r="N457" t="s">
        <v>1123</v>
      </c>
      <c r="Q457" t="b">
        <v>0</v>
      </c>
      <c r="S457" t="str">
        <f>"9780310120438"</f>
        <v>9780310120438</v>
      </c>
      <c r="T457" t="str">
        <f>"9780310120445"</f>
        <v>9780310120445</v>
      </c>
      <c r="U457" t="b">
        <v>0</v>
      </c>
      <c r="W457" t="b">
        <v>0</v>
      </c>
    </row>
    <row r="458" spans="1:23" x14ac:dyDescent="0.3">
      <c r="A458">
        <v>2983385</v>
      </c>
      <c r="B458">
        <v>89.67</v>
      </c>
      <c r="C458" t="s">
        <v>1124</v>
      </c>
      <c r="D458" t="s">
        <v>1125</v>
      </c>
      <c r="E458" t="s">
        <v>23</v>
      </c>
      <c r="F458" t="s">
        <v>44</v>
      </c>
      <c r="G458">
        <v>2021</v>
      </c>
      <c r="H458" t="s">
        <v>1126</v>
      </c>
      <c r="I458" t="s">
        <v>1127</v>
      </c>
      <c r="J458" t="s">
        <v>1128</v>
      </c>
      <c r="K458" t="s">
        <v>25</v>
      </c>
      <c r="L458" t="s">
        <v>26</v>
      </c>
      <c r="M458" t="b">
        <v>1</v>
      </c>
      <c r="N458" t="s">
        <v>1129</v>
      </c>
      <c r="O458" t="str">
        <f>"261.8/35766"</f>
        <v>261.8/35766</v>
      </c>
      <c r="Q458" t="b">
        <v>0</v>
      </c>
      <c r="S458" t="str">
        <f>"9780310116059"</f>
        <v>9780310116059</v>
      </c>
      <c r="T458" t="str">
        <f>"9780310116066"</f>
        <v>9780310116066</v>
      </c>
      <c r="U458" t="b">
        <v>0</v>
      </c>
      <c r="W458" t="b">
        <v>0</v>
      </c>
    </row>
    <row r="459" spans="1:23" x14ac:dyDescent="0.3">
      <c r="A459">
        <v>2983384</v>
      </c>
      <c r="B459">
        <v>65.52</v>
      </c>
      <c r="C459" t="s">
        <v>1130</v>
      </c>
      <c r="D459" t="s">
        <v>1131</v>
      </c>
      <c r="E459" t="s">
        <v>23</v>
      </c>
      <c r="F459" t="s">
        <v>44</v>
      </c>
      <c r="G459">
        <v>2021</v>
      </c>
      <c r="H459" t="s">
        <v>756</v>
      </c>
      <c r="I459" t="s">
        <v>1132</v>
      </c>
      <c r="J459" t="s">
        <v>1133</v>
      </c>
      <c r="K459" t="s">
        <v>25</v>
      </c>
      <c r="L459" t="s">
        <v>26</v>
      </c>
      <c r="M459" t="b">
        <v>1</v>
      </c>
      <c r="N459" t="s">
        <v>1134</v>
      </c>
      <c r="O459" t="str">
        <f>"248.4"</f>
        <v>248.4</v>
      </c>
      <c r="Q459" t="b">
        <v>0</v>
      </c>
      <c r="S459" t="str">
        <f>"9780310113287"</f>
        <v>9780310113287</v>
      </c>
      <c r="T459" t="str">
        <f>"9780310113294"</f>
        <v>9780310113294</v>
      </c>
      <c r="U459" t="b">
        <v>0</v>
      </c>
      <c r="W459" t="b">
        <v>0</v>
      </c>
    </row>
    <row r="460" spans="1:23" x14ac:dyDescent="0.3">
      <c r="A460">
        <v>2983383</v>
      </c>
      <c r="B460">
        <v>51.72</v>
      </c>
      <c r="C460" t="s">
        <v>1135</v>
      </c>
      <c r="D460" t="s">
        <v>1136</v>
      </c>
      <c r="E460" t="s">
        <v>23</v>
      </c>
      <c r="F460" t="s">
        <v>44</v>
      </c>
      <c r="G460">
        <v>2021</v>
      </c>
      <c r="H460" t="s">
        <v>70</v>
      </c>
      <c r="K460" t="s">
        <v>25</v>
      </c>
      <c r="L460" t="s">
        <v>26</v>
      </c>
      <c r="M460" t="b">
        <v>1</v>
      </c>
      <c r="N460" t="s">
        <v>1137</v>
      </c>
      <c r="Q460" t="b">
        <v>0</v>
      </c>
      <c r="S460" t="str">
        <f>"9780310111344"</f>
        <v>9780310111344</v>
      </c>
      <c r="T460" t="str">
        <f>"9780310111351"</f>
        <v>9780310111351</v>
      </c>
      <c r="U460" t="b">
        <v>0</v>
      </c>
      <c r="W460" t="b">
        <v>0</v>
      </c>
    </row>
    <row r="461" spans="1:23" x14ac:dyDescent="0.3">
      <c r="A461">
        <v>2983382</v>
      </c>
      <c r="B461">
        <v>68.97</v>
      </c>
      <c r="C461" t="s">
        <v>1138</v>
      </c>
      <c r="D461" t="s">
        <v>1136</v>
      </c>
      <c r="E461" t="s">
        <v>23</v>
      </c>
      <c r="F461" t="s">
        <v>44</v>
      </c>
      <c r="G461">
        <v>2021</v>
      </c>
      <c r="H461" t="s">
        <v>70</v>
      </c>
      <c r="I461" t="s">
        <v>1139</v>
      </c>
      <c r="J461" t="s">
        <v>1140</v>
      </c>
      <c r="K461" t="s">
        <v>25</v>
      </c>
      <c r="L461" t="s">
        <v>26</v>
      </c>
      <c r="M461" t="b">
        <v>1</v>
      </c>
      <c r="N461" t="s">
        <v>1137</v>
      </c>
      <c r="O461" t="str">
        <f>"232.9/08"</f>
        <v>232.9/08</v>
      </c>
      <c r="Q461" t="b">
        <v>0</v>
      </c>
      <c r="S461" t="str">
        <f>"9780310111276"</f>
        <v>9780310111276</v>
      </c>
      <c r="T461" t="str">
        <f>"9780310111283"</f>
        <v>9780310111283</v>
      </c>
      <c r="U461" t="b">
        <v>0</v>
      </c>
      <c r="W461" t="b">
        <v>0</v>
      </c>
    </row>
    <row r="462" spans="1:23" x14ac:dyDescent="0.3">
      <c r="A462">
        <v>2983381</v>
      </c>
      <c r="B462">
        <v>68.97</v>
      </c>
      <c r="C462" t="s">
        <v>1141</v>
      </c>
      <c r="D462" t="s">
        <v>1142</v>
      </c>
      <c r="E462" t="s">
        <v>23</v>
      </c>
      <c r="F462" t="s">
        <v>44</v>
      </c>
      <c r="G462">
        <v>2021</v>
      </c>
      <c r="H462" t="s">
        <v>1143</v>
      </c>
      <c r="I462" t="s">
        <v>1144</v>
      </c>
      <c r="K462" t="s">
        <v>25</v>
      </c>
      <c r="L462" t="s">
        <v>26</v>
      </c>
      <c r="M462" t="b">
        <v>1</v>
      </c>
      <c r="N462" t="s">
        <v>1145</v>
      </c>
      <c r="O462" t="str">
        <f>"220.6"</f>
        <v>220.6</v>
      </c>
      <c r="Q462" t="b">
        <v>0</v>
      </c>
      <c r="S462" t="str">
        <f>"9780310109945"</f>
        <v>9780310109945</v>
      </c>
      <c r="T462" t="str">
        <f>"9780310109952"</f>
        <v>9780310109952</v>
      </c>
      <c r="U462" t="b">
        <v>0</v>
      </c>
      <c r="W462" t="b">
        <v>0</v>
      </c>
    </row>
    <row r="463" spans="1:23" x14ac:dyDescent="0.3">
      <c r="A463">
        <v>2983380</v>
      </c>
      <c r="B463">
        <v>58.62</v>
      </c>
      <c r="C463" t="s">
        <v>1146</v>
      </c>
      <c r="D463" t="s">
        <v>1147</v>
      </c>
      <c r="E463" t="s">
        <v>23</v>
      </c>
      <c r="F463" t="s">
        <v>44</v>
      </c>
      <c r="G463">
        <v>2021</v>
      </c>
      <c r="H463" t="s">
        <v>1148</v>
      </c>
      <c r="I463" t="s">
        <v>1149</v>
      </c>
      <c r="J463" t="s">
        <v>1150</v>
      </c>
      <c r="K463" t="s">
        <v>25</v>
      </c>
      <c r="L463" t="s">
        <v>26</v>
      </c>
      <c r="M463" t="b">
        <v>1</v>
      </c>
      <c r="N463" t="s">
        <v>1151</v>
      </c>
      <c r="O463" t="str">
        <f>"248.8/6"</f>
        <v>248.8/6</v>
      </c>
      <c r="Q463" t="b">
        <v>0</v>
      </c>
      <c r="S463" t="str">
        <f>"9780310109020"</f>
        <v>9780310109020</v>
      </c>
      <c r="T463" t="str">
        <f>"9780310109037"</f>
        <v>9780310109037</v>
      </c>
      <c r="U463" t="b">
        <v>0</v>
      </c>
      <c r="W463" t="b">
        <v>0</v>
      </c>
    </row>
    <row r="464" spans="1:23" x14ac:dyDescent="0.3">
      <c r="A464">
        <v>2983379</v>
      </c>
      <c r="B464">
        <v>93.12</v>
      </c>
      <c r="C464" t="s">
        <v>1152</v>
      </c>
      <c r="D464" t="s">
        <v>1153</v>
      </c>
      <c r="E464" t="s">
        <v>23</v>
      </c>
      <c r="F464" t="s">
        <v>44</v>
      </c>
      <c r="G464">
        <v>2021</v>
      </c>
      <c r="H464" t="s">
        <v>1154</v>
      </c>
      <c r="K464" t="s">
        <v>25</v>
      </c>
      <c r="L464" t="s">
        <v>26</v>
      </c>
      <c r="M464" t="b">
        <v>1</v>
      </c>
      <c r="N464" t="s">
        <v>135</v>
      </c>
      <c r="Q464" t="b">
        <v>0</v>
      </c>
      <c r="S464" t="str">
        <f>"9780310360773"</f>
        <v>9780310360773</v>
      </c>
      <c r="T464" t="str">
        <f>"9780310360780"</f>
        <v>9780310360780</v>
      </c>
      <c r="U464" t="b">
        <v>0</v>
      </c>
      <c r="W464" t="b">
        <v>0</v>
      </c>
    </row>
    <row r="465" spans="1:23" x14ac:dyDescent="0.3">
      <c r="A465">
        <v>2983378</v>
      </c>
      <c r="B465">
        <v>93.12</v>
      </c>
      <c r="C465" t="s">
        <v>1155</v>
      </c>
      <c r="D465" t="s">
        <v>1156</v>
      </c>
      <c r="E465" t="s">
        <v>23</v>
      </c>
      <c r="F465" t="s">
        <v>44</v>
      </c>
      <c r="G465">
        <v>2022</v>
      </c>
      <c r="H465" t="s">
        <v>99</v>
      </c>
      <c r="K465" t="s">
        <v>25</v>
      </c>
      <c r="L465" t="s">
        <v>26</v>
      </c>
      <c r="M465" t="b">
        <v>1</v>
      </c>
      <c r="N465" t="s">
        <v>1157</v>
      </c>
      <c r="Q465" t="b">
        <v>0</v>
      </c>
      <c r="S465" t="str">
        <f>"9780310359814"</f>
        <v>9780310359814</v>
      </c>
      <c r="T465" t="str">
        <f>"9780310359821"</f>
        <v>9780310359821</v>
      </c>
      <c r="U465" t="b">
        <v>0</v>
      </c>
      <c r="W465" t="b">
        <v>0</v>
      </c>
    </row>
    <row r="466" spans="1:23" x14ac:dyDescent="0.3">
      <c r="A466">
        <v>2983377</v>
      </c>
      <c r="B466">
        <v>79.319999999999993</v>
      </c>
      <c r="C466" t="s">
        <v>1158</v>
      </c>
      <c r="D466" t="s">
        <v>1159</v>
      </c>
      <c r="E466" t="s">
        <v>23</v>
      </c>
      <c r="F466" t="s">
        <v>106</v>
      </c>
      <c r="G466">
        <v>2022</v>
      </c>
      <c r="H466" t="s">
        <v>70</v>
      </c>
      <c r="I466" t="s">
        <v>1160</v>
      </c>
      <c r="J466" t="s">
        <v>1161</v>
      </c>
      <c r="K466" t="s">
        <v>25</v>
      </c>
      <c r="L466" t="s">
        <v>26</v>
      </c>
      <c r="M466" t="b">
        <v>1</v>
      </c>
      <c r="N466" t="s">
        <v>1162</v>
      </c>
      <c r="O466" t="str">
        <f>"239"</f>
        <v>239</v>
      </c>
      <c r="Q466" t="b">
        <v>0</v>
      </c>
      <c r="S466" t="str">
        <f>"9780310590101"</f>
        <v>9780310590101</v>
      </c>
      <c r="T466" t="str">
        <f>"9780310590125"</f>
        <v>9780310590125</v>
      </c>
      <c r="U466" t="b">
        <v>0</v>
      </c>
      <c r="W466" t="b">
        <v>0</v>
      </c>
    </row>
    <row r="467" spans="1:23" x14ac:dyDescent="0.3">
      <c r="A467">
        <v>2983376</v>
      </c>
      <c r="B467">
        <v>103.47</v>
      </c>
      <c r="C467" t="s">
        <v>1163</v>
      </c>
      <c r="D467" t="s">
        <v>1164</v>
      </c>
      <c r="E467" t="s">
        <v>23</v>
      </c>
      <c r="F467" t="s">
        <v>106</v>
      </c>
      <c r="G467">
        <v>2022</v>
      </c>
      <c r="H467" t="s">
        <v>45</v>
      </c>
      <c r="K467" t="s">
        <v>25</v>
      </c>
      <c r="L467" t="s">
        <v>26</v>
      </c>
      <c r="M467" t="b">
        <v>1</v>
      </c>
      <c r="N467" t="s">
        <v>1165</v>
      </c>
      <c r="Q467" t="b">
        <v>0</v>
      </c>
      <c r="S467" t="str">
        <f>"9780310127963"</f>
        <v>9780310127963</v>
      </c>
      <c r="T467" t="str">
        <f>"9780310127970"</f>
        <v>9780310127970</v>
      </c>
      <c r="U467" t="b">
        <v>0</v>
      </c>
      <c r="W467" t="b">
        <v>0</v>
      </c>
    </row>
    <row r="468" spans="1:23" x14ac:dyDescent="0.3">
      <c r="A468">
        <v>2983375</v>
      </c>
      <c r="B468">
        <v>113.82</v>
      </c>
      <c r="C468" t="s">
        <v>1166</v>
      </c>
      <c r="E468" t="s">
        <v>23</v>
      </c>
      <c r="F468" t="s">
        <v>106</v>
      </c>
      <c r="G468">
        <v>2021</v>
      </c>
      <c r="H468" t="s">
        <v>57</v>
      </c>
      <c r="I468" t="s">
        <v>1167</v>
      </c>
      <c r="K468" t="s">
        <v>25</v>
      </c>
      <c r="L468" t="s">
        <v>26</v>
      </c>
      <c r="M468" t="b">
        <v>1</v>
      </c>
      <c r="N468" t="s">
        <v>1168</v>
      </c>
      <c r="O468" t="str">
        <f>"232"</f>
        <v>232</v>
      </c>
      <c r="P468" t="s">
        <v>1169</v>
      </c>
      <c r="Q468" t="b">
        <v>0</v>
      </c>
      <c r="S468" t="str">
        <f>"9780310538707"</f>
        <v>9780310538707</v>
      </c>
      <c r="T468" t="str">
        <f>"9780310538721"</f>
        <v>9780310538721</v>
      </c>
      <c r="U468" t="b">
        <v>0</v>
      </c>
      <c r="W468" t="b">
        <v>0</v>
      </c>
    </row>
    <row r="469" spans="1:23" x14ac:dyDescent="0.3">
      <c r="A469">
        <v>2983373</v>
      </c>
      <c r="B469">
        <v>189.72</v>
      </c>
      <c r="C469" t="s">
        <v>1170</v>
      </c>
      <c r="D469" t="s">
        <v>1171</v>
      </c>
      <c r="E469" t="s">
        <v>23</v>
      </c>
      <c r="F469" t="s">
        <v>106</v>
      </c>
      <c r="G469">
        <v>2021</v>
      </c>
      <c r="H469" t="s">
        <v>98</v>
      </c>
      <c r="I469" t="s">
        <v>1172</v>
      </c>
      <c r="K469" t="s">
        <v>25</v>
      </c>
      <c r="L469" t="s">
        <v>26</v>
      </c>
      <c r="M469" t="b">
        <v>1</v>
      </c>
      <c r="N469" t="s">
        <v>1173</v>
      </c>
      <c r="O469" t="str">
        <f>"227/.06"</f>
        <v>227/.06</v>
      </c>
      <c r="P469" t="s">
        <v>1174</v>
      </c>
      <c r="Q469" t="b">
        <v>0</v>
      </c>
      <c r="S469" t="str">
        <f>"9780310270904"</f>
        <v>9780310270904</v>
      </c>
      <c r="T469" t="str">
        <f>"9780310128502"</f>
        <v>9780310128502</v>
      </c>
      <c r="U469" t="b">
        <v>0</v>
      </c>
      <c r="W469" t="b">
        <v>0</v>
      </c>
    </row>
    <row r="470" spans="1:23" x14ac:dyDescent="0.3">
      <c r="A470">
        <v>2983372</v>
      </c>
      <c r="B470">
        <v>58.62</v>
      </c>
      <c r="C470" t="s">
        <v>1175</v>
      </c>
      <c r="D470" t="s">
        <v>1176</v>
      </c>
      <c r="E470" t="s">
        <v>23</v>
      </c>
      <c r="F470" t="s">
        <v>106</v>
      </c>
      <c r="G470">
        <v>2021</v>
      </c>
      <c r="H470" t="s">
        <v>893</v>
      </c>
      <c r="I470" t="s">
        <v>894</v>
      </c>
      <c r="J470" t="s">
        <v>1177</v>
      </c>
      <c r="K470" t="s">
        <v>25</v>
      </c>
      <c r="L470" t="s">
        <v>26</v>
      </c>
      <c r="M470" t="b">
        <v>1</v>
      </c>
      <c r="N470" t="s">
        <v>1178</v>
      </c>
      <c r="O470" t="str">
        <f>"487/.4"</f>
        <v>487/.4</v>
      </c>
      <c r="Q470" t="b">
        <v>0</v>
      </c>
      <c r="S470" t="str">
        <f>"9780310114666"</f>
        <v>9780310114666</v>
      </c>
      <c r="T470" t="str">
        <f>"9780310114673"</f>
        <v>9780310114673</v>
      </c>
      <c r="U470" t="b">
        <v>0</v>
      </c>
      <c r="W470" t="b">
        <v>0</v>
      </c>
    </row>
    <row r="471" spans="1:23" x14ac:dyDescent="0.3">
      <c r="A471">
        <v>2983371</v>
      </c>
      <c r="B471">
        <v>103.47</v>
      </c>
      <c r="C471" t="s">
        <v>1179</v>
      </c>
      <c r="D471" t="s">
        <v>1180</v>
      </c>
      <c r="E471" t="s">
        <v>23</v>
      </c>
      <c r="F471" t="s">
        <v>106</v>
      </c>
      <c r="G471">
        <v>2021</v>
      </c>
      <c r="H471" t="s">
        <v>1181</v>
      </c>
      <c r="I471" t="s">
        <v>1182</v>
      </c>
      <c r="J471" t="s">
        <v>1183</v>
      </c>
      <c r="K471" t="s">
        <v>25</v>
      </c>
      <c r="L471" t="s">
        <v>26</v>
      </c>
      <c r="M471" t="b">
        <v>1</v>
      </c>
      <c r="N471" t="s">
        <v>1184</v>
      </c>
      <c r="O471" t="str">
        <f>"251"</f>
        <v>251</v>
      </c>
      <c r="Q471" t="b">
        <v>0</v>
      </c>
      <c r="S471" t="str">
        <f>"9780310108870"</f>
        <v>9780310108870</v>
      </c>
      <c r="T471" t="str">
        <f>"9780310108887"</f>
        <v>9780310108887</v>
      </c>
      <c r="U471" t="b">
        <v>0</v>
      </c>
      <c r="W471" t="b">
        <v>0</v>
      </c>
    </row>
    <row r="472" spans="1:23" x14ac:dyDescent="0.3">
      <c r="A472">
        <v>2983370</v>
      </c>
      <c r="B472">
        <v>86.22</v>
      </c>
      <c r="C472" t="s">
        <v>1185</v>
      </c>
      <c r="D472" t="s">
        <v>1186</v>
      </c>
      <c r="E472" t="s">
        <v>23</v>
      </c>
      <c r="F472" t="s">
        <v>106</v>
      </c>
      <c r="G472">
        <v>2021</v>
      </c>
      <c r="H472" t="s">
        <v>1187</v>
      </c>
      <c r="I472" t="s">
        <v>1188</v>
      </c>
      <c r="J472" t="s">
        <v>1189</v>
      </c>
      <c r="K472" t="s">
        <v>25</v>
      </c>
      <c r="L472" t="s">
        <v>26</v>
      </c>
      <c r="M472" t="b">
        <v>1</v>
      </c>
      <c r="N472" t="s">
        <v>1190</v>
      </c>
      <c r="O472" t="str">
        <f>"261.5/1"</f>
        <v>261.5/1</v>
      </c>
      <c r="Q472" t="b">
        <v>0</v>
      </c>
      <c r="S472" t="str">
        <f>"9780310109525"</f>
        <v>9780310109525</v>
      </c>
      <c r="T472" t="str">
        <f>"9780310109549"</f>
        <v>9780310109549</v>
      </c>
      <c r="U472" t="b">
        <v>0</v>
      </c>
      <c r="W472" t="b">
        <v>0</v>
      </c>
    </row>
    <row r="473" spans="1:23" x14ac:dyDescent="0.3">
      <c r="A473">
        <v>2983369</v>
      </c>
      <c r="B473">
        <v>86.22</v>
      </c>
      <c r="C473" t="s">
        <v>1191</v>
      </c>
      <c r="D473" t="s">
        <v>1192</v>
      </c>
      <c r="E473" t="s">
        <v>23</v>
      </c>
      <c r="F473" t="s">
        <v>28</v>
      </c>
      <c r="G473">
        <v>2022</v>
      </c>
      <c r="H473" t="s">
        <v>1193</v>
      </c>
      <c r="K473" t="s">
        <v>25</v>
      </c>
      <c r="L473" t="s">
        <v>26</v>
      </c>
      <c r="M473" t="b">
        <v>1</v>
      </c>
      <c r="N473" t="s">
        <v>1194</v>
      </c>
      <c r="Q473" t="b">
        <v>0</v>
      </c>
      <c r="S473" t="str">
        <f>"9780310771135"</f>
        <v>9780310771135</v>
      </c>
      <c r="T473" t="str">
        <f>"9780310771142"</f>
        <v>9780310771142</v>
      </c>
      <c r="U473" t="b">
        <v>0</v>
      </c>
      <c r="W473" t="b">
        <v>0</v>
      </c>
    </row>
    <row r="474" spans="1:23" x14ac:dyDescent="0.3">
      <c r="A474">
        <v>2983368</v>
      </c>
      <c r="B474">
        <v>62.07</v>
      </c>
      <c r="C474" t="s">
        <v>1195</v>
      </c>
      <c r="D474" t="s">
        <v>1196</v>
      </c>
      <c r="E474" t="s">
        <v>23</v>
      </c>
      <c r="F474" t="s">
        <v>28</v>
      </c>
      <c r="G474">
        <v>2022</v>
      </c>
      <c r="H474" t="s">
        <v>1197</v>
      </c>
      <c r="K474" t="s">
        <v>25</v>
      </c>
      <c r="L474" t="s">
        <v>26</v>
      </c>
      <c r="M474" t="b">
        <v>1</v>
      </c>
      <c r="N474" t="s">
        <v>1198</v>
      </c>
      <c r="Q474" t="b">
        <v>0</v>
      </c>
      <c r="S474" t="str">
        <f>"9780310751045"</f>
        <v>9780310751045</v>
      </c>
      <c r="T474" t="str">
        <f>"9780310751243"</f>
        <v>9780310751243</v>
      </c>
      <c r="U474" t="b">
        <v>0</v>
      </c>
      <c r="W474" t="b">
        <v>0</v>
      </c>
    </row>
    <row r="475" spans="1:23" x14ac:dyDescent="0.3">
      <c r="A475">
        <v>2983367</v>
      </c>
      <c r="B475">
        <v>58.62</v>
      </c>
      <c r="C475" t="s">
        <v>1199</v>
      </c>
      <c r="D475" t="s">
        <v>1200</v>
      </c>
      <c r="E475" t="s">
        <v>23</v>
      </c>
      <c r="F475" t="s">
        <v>28</v>
      </c>
      <c r="G475">
        <v>2021</v>
      </c>
      <c r="H475" t="s">
        <v>168</v>
      </c>
      <c r="K475" t="s">
        <v>25</v>
      </c>
      <c r="L475" t="s">
        <v>26</v>
      </c>
      <c r="M475" t="b">
        <v>1</v>
      </c>
      <c r="N475" t="s">
        <v>54</v>
      </c>
      <c r="Q475" t="b">
        <v>0</v>
      </c>
      <c r="S475" t="str">
        <f>"9780310744610"</f>
        <v>9780310744610</v>
      </c>
      <c r="T475" t="str">
        <f>"9780310747123"</f>
        <v>9780310747123</v>
      </c>
      <c r="U475" t="b">
        <v>0</v>
      </c>
      <c r="W475" t="b">
        <v>0</v>
      </c>
    </row>
    <row r="476" spans="1:23" x14ac:dyDescent="0.3">
      <c r="A476">
        <v>2983366</v>
      </c>
      <c r="B476">
        <v>68.97</v>
      </c>
      <c r="C476" t="s">
        <v>1201</v>
      </c>
      <c r="D476" t="s">
        <v>1202</v>
      </c>
      <c r="E476" t="s">
        <v>23</v>
      </c>
      <c r="F476" t="s">
        <v>28</v>
      </c>
      <c r="G476">
        <v>2021</v>
      </c>
      <c r="H476" t="s">
        <v>466</v>
      </c>
      <c r="K476" t="s">
        <v>25</v>
      </c>
      <c r="L476" t="s">
        <v>26</v>
      </c>
      <c r="M476" t="b">
        <v>1</v>
      </c>
      <c r="N476" t="s">
        <v>210</v>
      </c>
      <c r="P476" t="s">
        <v>359</v>
      </c>
      <c r="Q476" t="b">
        <v>0</v>
      </c>
      <c r="S476" t="str">
        <f>"9780310734154"</f>
        <v>9780310734154</v>
      </c>
      <c r="T476" t="str">
        <f>"9780310734185"</f>
        <v>9780310734185</v>
      </c>
      <c r="U476" t="b">
        <v>0</v>
      </c>
      <c r="W476" t="b">
        <v>0</v>
      </c>
    </row>
    <row r="477" spans="1:23" x14ac:dyDescent="0.3">
      <c r="A477">
        <v>2983365</v>
      </c>
      <c r="B477">
        <v>62.07</v>
      </c>
      <c r="C477" t="s">
        <v>1203</v>
      </c>
      <c r="E477" t="s">
        <v>23</v>
      </c>
      <c r="F477" t="s">
        <v>28</v>
      </c>
      <c r="G477">
        <v>2021</v>
      </c>
      <c r="H477" t="s">
        <v>207</v>
      </c>
      <c r="K477" t="s">
        <v>25</v>
      </c>
      <c r="L477" t="s">
        <v>26</v>
      </c>
      <c r="M477" t="b">
        <v>1</v>
      </c>
      <c r="N477" t="s">
        <v>44</v>
      </c>
      <c r="Q477" t="b">
        <v>1</v>
      </c>
      <c r="S477" t="str">
        <f>"9780310734116"</f>
        <v>9780310734116</v>
      </c>
      <c r="T477" t="str">
        <f>"9780310734123"</f>
        <v>9780310734123</v>
      </c>
      <c r="U477" t="b">
        <v>0</v>
      </c>
      <c r="W477" t="b">
        <v>0</v>
      </c>
    </row>
    <row r="478" spans="1:23" x14ac:dyDescent="0.3">
      <c r="A478">
        <v>2983144</v>
      </c>
      <c r="B478">
        <v>86.22</v>
      </c>
      <c r="C478" t="s">
        <v>1240</v>
      </c>
      <c r="D478" t="s">
        <v>1241</v>
      </c>
      <c r="E478" t="s">
        <v>23</v>
      </c>
      <c r="F478" t="s">
        <v>44</v>
      </c>
      <c r="G478">
        <v>2021</v>
      </c>
      <c r="H478" t="s">
        <v>52</v>
      </c>
      <c r="I478" t="s">
        <v>1242</v>
      </c>
      <c r="J478" t="s">
        <v>1243</v>
      </c>
      <c r="K478" t="s">
        <v>25</v>
      </c>
      <c r="L478" t="s">
        <v>26</v>
      </c>
      <c r="M478" t="b">
        <v>1</v>
      </c>
      <c r="N478" t="s">
        <v>1244</v>
      </c>
      <c r="O478" t="str">
        <f>"616.89/1425"</f>
        <v>616.89/1425</v>
      </c>
      <c r="Q478" t="b">
        <v>0</v>
      </c>
      <c r="S478" t="str">
        <f>"9780310114734"</f>
        <v>9780310114734</v>
      </c>
      <c r="T478" t="str">
        <f>"9780310114741"</f>
        <v>9780310114741</v>
      </c>
      <c r="U478" t="b">
        <v>0</v>
      </c>
      <c r="W478" t="b">
        <v>0</v>
      </c>
    </row>
    <row r="479" spans="1:23" x14ac:dyDescent="0.3">
      <c r="A479">
        <v>2983143</v>
      </c>
      <c r="B479">
        <v>100.02</v>
      </c>
      <c r="C479" t="s">
        <v>1245</v>
      </c>
      <c r="D479" t="s">
        <v>1246</v>
      </c>
      <c r="E479" t="s">
        <v>23</v>
      </c>
      <c r="F479" t="s">
        <v>44</v>
      </c>
      <c r="G479">
        <v>2021</v>
      </c>
      <c r="H479" t="s">
        <v>52</v>
      </c>
      <c r="I479" t="s">
        <v>1247</v>
      </c>
      <c r="J479" t="s">
        <v>1248</v>
      </c>
      <c r="K479" t="s">
        <v>25</v>
      </c>
      <c r="L479" t="s">
        <v>26</v>
      </c>
      <c r="M479" t="b">
        <v>1</v>
      </c>
      <c r="N479" t="s">
        <v>1249</v>
      </c>
      <c r="O479" t="str">
        <f>"248.8/6"</f>
        <v>248.8/6</v>
      </c>
      <c r="Q479" t="b">
        <v>0</v>
      </c>
      <c r="S479" t="str">
        <f>"9780310362012"</f>
        <v>9780310362012</v>
      </c>
      <c r="T479" t="str">
        <f>"9780310362029"</f>
        <v>9780310362029</v>
      </c>
      <c r="U479" t="b">
        <v>0</v>
      </c>
      <c r="W479" t="b">
        <v>0</v>
      </c>
    </row>
    <row r="480" spans="1:23" x14ac:dyDescent="0.3">
      <c r="A480">
        <v>2983142</v>
      </c>
      <c r="B480">
        <v>65.52</v>
      </c>
      <c r="C480" t="s">
        <v>1250</v>
      </c>
      <c r="D480" t="s">
        <v>1251</v>
      </c>
      <c r="E480" t="s">
        <v>23</v>
      </c>
      <c r="F480" t="s">
        <v>44</v>
      </c>
      <c r="G480">
        <v>2021</v>
      </c>
      <c r="H480" t="s">
        <v>1080</v>
      </c>
      <c r="K480" t="s">
        <v>25</v>
      </c>
      <c r="L480" t="s">
        <v>26</v>
      </c>
      <c r="M480" t="b">
        <v>1</v>
      </c>
      <c r="N480" t="s">
        <v>1252</v>
      </c>
      <c r="Q480" t="b">
        <v>0</v>
      </c>
      <c r="S480" t="str">
        <f>"9780310361343"</f>
        <v>9780310361343</v>
      </c>
      <c r="T480" t="str">
        <f>"9780310361350"</f>
        <v>9780310361350</v>
      </c>
      <c r="U480" t="b">
        <v>0</v>
      </c>
      <c r="W480" t="b">
        <v>0</v>
      </c>
    </row>
    <row r="481" spans="1:23" x14ac:dyDescent="0.3">
      <c r="A481">
        <v>2983141</v>
      </c>
      <c r="B481">
        <v>27.57</v>
      </c>
      <c r="C481" t="s">
        <v>1253</v>
      </c>
      <c r="E481" t="s">
        <v>23</v>
      </c>
      <c r="F481" t="s">
        <v>44</v>
      </c>
      <c r="G481">
        <v>2021</v>
      </c>
      <c r="H481" t="s">
        <v>772</v>
      </c>
      <c r="K481" t="s">
        <v>25</v>
      </c>
      <c r="L481" t="s">
        <v>26</v>
      </c>
      <c r="M481" t="b">
        <v>1</v>
      </c>
      <c r="N481" t="s">
        <v>742</v>
      </c>
      <c r="P481" t="s">
        <v>980</v>
      </c>
      <c r="Q481" t="b">
        <v>1</v>
      </c>
      <c r="S481" t="str">
        <f>"9780310358961"</f>
        <v>9780310358961</v>
      </c>
      <c r="T481" t="str">
        <f>"9780310358978"</f>
        <v>9780310358978</v>
      </c>
      <c r="U481" t="b">
        <v>0</v>
      </c>
      <c r="W481" t="b">
        <v>0</v>
      </c>
    </row>
    <row r="482" spans="1:23" x14ac:dyDescent="0.3">
      <c r="A482">
        <v>2983140</v>
      </c>
      <c r="B482">
        <v>86.22</v>
      </c>
      <c r="C482" t="s">
        <v>1254</v>
      </c>
      <c r="D482" t="s">
        <v>1255</v>
      </c>
      <c r="E482" t="s">
        <v>23</v>
      </c>
      <c r="F482" t="s">
        <v>44</v>
      </c>
      <c r="G482">
        <v>2021</v>
      </c>
      <c r="H482" t="s">
        <v>107</v>
      </c>
      <c r="I482" t="s">
        <v>1256</v>
      </c>
      <c r="J482" t="s">
        <v>1257</v>
      </c>
      <c r="K482" t="s">
        <v>25</v>
      </c>
      <c r="L482" t="s">
        <v>26</v>
      </c>
      <c r="M482" t="b">
        <v>1</v>
      </c>
      <c r="N482" t="s">
        <v>1258</v>
      </c>
      <c r="O482" t="str">
        <f>"261.8"</f>
        <v>261.8</v>
      </c>
      <c r="Q482" t="b">
        <v>0</v>
      </c>
      <c r="S482" t="str">
        <f>"9780310124030"</f>
        <v>9780310124030</v>
      </c>
      <c r="T482" t="str">
        <f>"9780310124047"</f>
        <v>9780310124047</v>
      </c>
      <c r="U482" t="b">
        <v>0</v>
      </c>
      <c r="W482" t="b">
        <v>0</v>
      </c>
    </row>
    <row r="483" spans="1:23" x14ac:dyDescent="0.3">
      <c r="A483">
        <v>2983139</v>
      </c>
      <c r="B483">
        <v>93.12</v>
      </c>
      <c r="C483" t="s">
        <v>1259</v>
      </c>
      <c r="D483" t="s">
        <v>1260</v>
      </c>
      <c r="E483" t="s">
        <v>23</v>
      </c>
      <c r="F483" t="s">
        <v>44</v>
      </c>
      <c r="G483">
        <v>2021</v>
      </c>
      <c r="H483" t="s">
        <v>1261</v>
      </c>
      <c r="I483" t="s">
        <v>1262</v>
      </c>
      <c r="J483" t="s">
        <v>1263</v>
      </c>
      <c r="K483" t="s">
        <v>25</v>
      </c>
      <c r="L483" t="s">
        <v>26</v>
      </c>
      <c r="M483" t="b">
        <v>1</v>
      </c>
      <c r="N483" t="s">
        <v>1264</v>
      </c>
      <c r="O483" t="str">
        <f>"241"</f>
        <v>241</v>
      </c>
      <c r="Q483" t="b">
        <v>0</v>
      </c>
      <c r="S483" t="str">
        <f>"9780310120902"</f>
        <v>9780310120902</v>
      </c>
      <c r="T483" t="str">
        <f>"9780310120919"</f>
        <v>9780310120919</v>
      </c>
      <c r="U483" t="b">
        <v>0</v>
      </c>
      <c r="W483" t="b">
        <v>0</v>
      </c>
    </row>
    <row r="484" spans="1:23" x14ac:dyDescent="0.3">
      <c r="A484">
        <v>2983138</v>
      </c>
      <c r="B484">
        <v>58.62</v>
      </c>
      <c r="C484" t="s">
        <v>1265</v>
      </c>
      <c r="D484" t="s">
        <v>1266</v>
      </c>
      <c r="E484" t="s">
        <v>23</v>
      </c>
      <c r="F484" t="s">
        <v>44</v>
      </c>
      <c r="G484">
        <v>2021</v>
      </c>
      <c r="H484" t="s">
        <v>99</v>
      </c>
      <c r="I484" t="s">
        <v>1267</v>
      </c>
      <c r="J484" t="s">
        <v>1268</v>
      </c>
      <c r="K484" t="s">
        <v>25</v>
      </c>
      <c r="L484" t="s">
        <v>26</v>
      </c>
      <c r="M484" t="b">
        <v>1</v>
      </c>
      <c r="N484" t="s">
        <v>1269</v>
      </c>
      <c r="O484" t="str">
        <f>"152.44"</f>
        <v>152.44</v>
      </c>
      <c r="Q484" t="b">
        <v>0</v>
      </c>
      <c r="S484" t="str">
        <f>"9780310108665"</f>
        <v>9780310108665</v>
      </c>
      <c r="T484" t="str">
        <f>"9780310108672"</f>
        <v>9780310108672</v>
      </c>
      <c r="U484" t="b">
        <v>0</v>
      </c>
      <c r="W484" t="b">
        <v>0</v>
      </c>
    </row>
    <row r="485" spans="1:23" x14ac:dyDescent="0.3">
      <c r="A485">
        <v>2983084</v>
      </c>
      <c r="B485">
        <v>51.72</v>
      </c>
      <c r="C485" t="s">
        <v>1271</v>
      </c>
      <c r="D485" t="s">
        <v>1272</v>
      </c>
      <c r="E485" t="s">
        <v>23</v>
      </c>
      <c r="F485" t="s">
        <v>44</v>
      </c>
      <c r="G485">
        <v>2010</v>
      </c>
      <c r="H485" t="s">
        <v>50</v>
      </c>
      <c r="K485" t="s">
        <v>25</v>
      </c>
      <c r="L485" t="s">
        <v>30</v>
      </c>
      <c r="M485" t="b">
        <v>1</v>
      </c>
      <c r="N485" t="s">
        <v>1273</v>
      </c>
      <c r="P485" t="s">
        <v>1274</v>
      </c>
      <c r="Q485" t="b">
        <v>0</v>
      </c>
      <c r="S485" t="str">
        <f>"9780310238522"</f>
        <v>9780310238522</v>
      </c>
      <c r="T485" t="str">
        <f>"9780310872627"</f>
        <v>9780310872627</v>
      </c>
      <c r="U485" t="b">
        <v>0</v>
      </c>
      <c r="W485" t="b">
        <v>0</v>
      </c>
    </row>
    <row r="486" spans="1:23" x14ac:dyDescent="0.3">
      <c r="A486">
        <v>2983083</v>
      </c>
      <c r="B486">
        <v>58.62</v>
      </c>
      <c r="C486" t="s">
        <v>1275</v>
      </c>
      <c r="D486" t="s">
        <v>1276</v>
      </c>
      <c r="E486" t="s">
        <v>23</v>
      </c>
      <c r="F486" t="s">
        <v>44</v>
      </c>
      <c r="G486">
        <v>2009</v>
      </c>
      <c r="H486" t="s">
        <v>50</v>
      </c>
      <c r="K486" t="s">
        <v>25</v>
      </c>
      <c r="L486" t="s">
        <v>30</v>
      </c>
      <c r="M486" t="b">
        <v>1</v>
      </c>
      <c r="N486" t="s">
        <v>1277</v>
      </c>
      <c r="P486" t="s">
        <v>1274</v>
      </c>
      <c r="Q486" t="b">
        <v>0</v>
      </c>
      <c r="S486" t="str">
        <f>"9780310285533"</f>
        <v>9780310285533</v>
      </c>
      <c r="T486" t="str">
        <f>"9780310867418"</f>
        <v>9780310867418</v>
      </c>
      <c r="U486" t="b">
        <v>0</v>
      </c>
      <c r="W486" t="b">
        <v>0</v>
      </c>
    </row>
    <row r="487" spans="1:23" x14ac:dyDescent="0.3">
      <c r="A487">
        <v>2983082</v>
      </c>
      <c r="B487">
        <v>58.62</v>
      </c>
      <c r="C487" t="s">
        <v>1278</v>
      </c>
      <c r="D487" t="s">
        <v>1279</v>
      </c>
      <c r="E487" t="s">
        <v>23</v>
      </c>
      <c r="F487" t="s">
        <v>44</v>
      </c>
      <c r="G487">
        <v>2010</v>
      </c>
      <c r="H487" t="s">
        <v>50</v>
      </c>
      <c r="K487" t="s">
        <v>25</v>
      </c>
      <c r="L487" t="s">
        <v>30</v>
      </c>
      <c r="M487" t="b">
        <v>1</v>
      </c>
      <c r="N487" t="s">
        <v>1273</v>
      </c>
      <c r="P487" t="s">
        <v>1274</v>
      </c>
      <c r="Q487" t="b">
        <v>0</v>
      </c>
      <c r="S487" t="str">
        <f>"9780310238546"</f>
        <v>9780310238546</v>
      </c>
      <c r="T487" t="str">
        <f>"9780310873235"</f>
        <v>9780310873235</v>
      </c>
      <c r="U487" t="b">
        <v>0</v>
      </c>
      <c r="W487" t="b">
        <v>0</v>
      </c>
    </row>
    <row r="488" spans="1:23" x14ac:dyDescent="0.3">
      <c r="A488">
        <v>2983081</v>
      </c>
      <c r="B488">
        <v>39.049999999999997</v>
      </c>
      <c r="C488" t="s">
        <v>1280</v>
      </c>
      <c r="D488" t="s">
        <v>1281</v>
      </c>
      <c r="E488" t="s">
        <v>23</v>
      </c>
      <c r="F488" t="s">
        <v>1282</v>
      </c>
      <c r="G488">
        <v>2009</v>
      </c>
      <c r="H488" t="s">
        <v>141</v>
      </c>
      <c r="K488" t="s">
        <v>25</v>
      </c>
      <c r="L488" t="s">
        <v>30</v>
      </c>
      <c r="M488" t="b">
        <v>1</v>
      </c>
      <c r="N488" t="s">
        <v>1283</v>
      </c>
      <c r="Q488" t="b">
        <v>0</v>
      </c>
      <c r="T488" t="str">
        <f>"9780310569671"</f>
        <v>9780310569671</v>
      </c>
      <c r="U488" t="b">
        <v>0</v>
      </c>
      <c r="W488" t="b">
        <v>0</v>
      </c>
    </row>
    <row r="489" spans="1:23" x14ac:dyDescent="0.3">
      <c r="A489">
        <v>2983080</v>
      </c>
      <c r="B489">
        <v>34.47</v>
      </c>
      <c r="C489" t="s">
        <v>1284</v>
      </c>
      <c r="E489" t="s">
        <v>23</v>
      </c>
      <c r="F489" t="s">
        <v>1282</v>
      </c>
      <c r="G489">
        <v>2009</v>
      </c>
      <c r="H489" t="s">
        <v>531</v>
      </c>
      <c r="K489" t="s">
        <v>25</v>
      </c>
      <c r="L489" t="s">
        <v>30</v>
      </c>
      <c r="M489" t="b">
        <v>1</v>
      </c>
      <c r="N489" t="s">
        <v>1285</v>
      </c>
      <c r="Q489" t="b">
        <v>0</v>
      </c>
      <c r="S489" t="str">
        <f>"9780310279327"</f>
        <v>9780310279327</v>
      </c>
      <c r="T489" t="str">
        <f>"9780310867562"</f>
        <v>9780310867562</v>
      </c>
      <c r="U489" t="b">
        <v>0</v>
      </c>
      <c r="W489" t="b">
        <v>0</v>
      </c>
    </row>
    <row r="490" spans="1:23" x14ac:dyDescent="0.3">
      <c r="A490">
        <v>2983079</v>
      </c>
      <c r="B490">
        <v>51.72</v>
      </c>
      <c r="C490" t="s">
        <v>1286</v>
      </c>
      <c r="D490" t="s">
        <v>1287</v>
      </c>
      <c r="E490" t="s">
        <v>23</v>
      </c>
      <c r="F490" t="s">
        <v>44</v>
      </c>
      <c r="G490">
        <v>2009</v>
      </c>
      <c r="H490" t="s">
        <v>50</v>
      </c>
      <c r="K490" t="s">
        <v>25</v>
      </c>
      <c r="L490" t="s">
        <v>30</v>
      </c>
      <c r="M490" t="b">
        <v>1</v>
      </c>
      <c r="N490" t="s">
        <v>1288</v>
      </c>
      <c r="P490" t="s">
        <v>1274</v>
      </c>
      <c r="Q490" t="b">
        <v>0</v>
      </c>
      <c r="S490" t="str">
        <f>"9780310284925"</f>
        <v>9780310284925</v>
      </c>
      <c r="T490" t="str">
        <f>"9780310867517"</f>
        <v>9780310867517</v>
      </c>
      <c r="U490" t="b">
        <v>0</v>
      </c>
      <c r="W490" t="b">
        <v>0</v>
      </c>
    </row>
    <row r="491" spans="1:23" x14ac:dyDescent="0.3">
      <c r="A491">
        <v>2983078</v>
      </c>
      <c r="B491">
        <v>17.73</v>
      </c>
      <c r="C491" t="s">
        <v>1289</v>
      </c>
      <c r="E491" t="s">
        <v>23</v>
      </c>
      <c r="F491" t="s">
        <v>1282</v>
      </c>
      <c r="G491">
        <v>2009</v>
      </c>
      <c r="H491" t="s">
        <v>431</v>
      </c>
      <c r="K491" t="s">
        <v>25</v>
      </c>
      <c r="L491" t="s">
        <v>30</v>
      </c>
      <c r="M491" t="b">
        <v>1</v>
      </c>
      <c r="N491" t="s">
        <v>83</v>
      </c>
      <c r="P491" t="s">
        <v>1290</v>
      </c>
      <c r="Q491" t="b">
        <v>1</v>
      </c>
      <c r="T491" t="str">
        <f>"9780310546290"</f>
        <v>9780310546290</v>
      </c>
      <c r="U491" t="b">
        <v>0</v>
      </c>
      <c r="W491" t="b">
        <v>0</v>
      </c>
    </row>
    <row r="492" spans="1:23" x14ac:dyDescent="0.3">
      <c r="A492">
        <v>2983077</v>
      </c>
      <c r="B492">
        <v>34.47</v>
      </c>
      <c r="C492" t="s">
        <v>1291</v>
      </c>
      <c r="D492" t="s">
        <v>1292</v>
      </c>
      <c r="E492" t="s">
        <v>23</v>
      </c>
      <c r="F492" t="s">
        <v>1282</v>
      </c>
      <c r="G492">
        <v>2009</v>
      </c>
      <c r="H492" t="s">
        <v>1293</v>
      </c>
      <c r="K492" t="s">
        <v>25</v>
      </c>
      <c r="L492" t="s">
        <v>30</v>
      </c>
      <c r="M492" t="b">
        <v>1</v>
      </c>
      <c r="N492" t="s">
        <v>129</v>
      </c>
      <c r="P492" t="s">
        <v>130</v>
      </c>
      <c r="Q492" t="b">
        <v>0</v>
      </c>
      <c r="S492" t="str">
        <f>"9780310745679"</f>
        <v>9780310745679</v>
      </c>
      <c r="T492" t="str">
        <f>"9780310569190"</f>
        <v>9780310569190</v>
      </c>
      <c r="U492" t="b">
        <v>0</v>
      </c>
      <c r="W492" t="b">
        <v>0</v>
      </c>
    </row>
    <row r="493" spans="1:23" x14ac:dyDescent="0.3">
      <c r="A493">
        <v>2983076</v>
      </c>
      <c r="B493">
        <v>35.5</v>
      </c>
      <c r="C493" t="s">
        <v>126</v>
      </c>
      <c r="D493" t="s">
        <v>127</v>
      </c>
      <c r="E493" t="s">
        <v>23</v>
      </c>
      <c r="F493" t="s">
        <v>1282</v>
      </c>
      <c r="G493">
        <v>2010</v>
      </c>
      <c r="H493" t="s">
        <v>128</v>
      </c>
      <c r="K493" t="s">
        <v>25</v>
      </c>
      <c r="L493" t="s">
        <v>30</v>
      </c>
      <c r="M493" t="b">
        <v>1</v>
      </c>
      <c r="N493" t="s">
        <v>129</v>
      </c>
      <c r="P493" t="s">
        <v>130</v>
      </c>
      <c r="Q493" t="b">
        <v>0</v>
      </c>
      <c r="S493" t="str">
        <f>"9780310745426"</f>
        <v>9780310745426</v>
      </c>
      <c r="T493" t="str">
        <f>"9780310835363"</f>
        <v>9780310835363</v>
      </c>
      <c r="U493" t="b">
        <v>0</v>
      </c>
      <c r="W493" t="b">
        <v>0</v>
      </c>
    </row>
    <row r="494" spans="1:23" x14ac:dyDescent="0.3">
      <c r="A494">
        <v>2983075</v>
      </c>
      <c r="B494">
        <v>24.12</v>
      </c>
      <c r="C494" t="s">
        <v>1294</v>
      </c>
      <c r="E494" t="s">
        <v>23</v>
      </c>
      <c r="F494" t="s">
        <v>1282</v>
      </c>
      <c r="G494">
        <v>2009</v>
      </c>
      <c r="H494" t="s">
        <v>230</v>
      </c>
      <c r="K494" t="s">
        <v>25</v>
      </c>
      <c r="L494" t="s">
        <v>30</v>
      </c>
      <c r="M494" t="b">
        <v>1</v>
      </c>
      <c r="N494" t="s">
        <v>83</v>
      </c>
      <c r="P494" t="s">
        <v>1290</v>
      </c>
      <c r="Q494" t="b">
        <v>1</v>
      </c>
      <c r="S494" t="str">
        <f>"9780310251835"</f>
        <v>9780310251835</v>
      </c>
      <c r="T494" t="str">
        <f>"9780310568957"</f>
        <v>9780310568957</v>
      </c>
      <c r="U494" t="b">
        <v>0</v>
      </c>
      <c r="W494" t="b">
        <v>0</v>
      </c>
    </row>
    <row r="495" spans="1:23" x14ac:dyDescent="0.3">
      <c r="A495">
        <v>2983074</v>
      </c>
      <c r="B495">
        <v>31.95</v>
      </c>
      <c r="C495" t="s">
        <v>1295</v>
      </c>
      <c r="D495" t="s">
        <v>1296</v>
      </c>
      <c r="E495" t="s">
        <v>23</v>
      </c>
      <c r="F495" t="s">
        <v>1282</v>
      </c>
      <c r="G495">
        <v>2009</v>
      </c>
      <c r="H495" t="s">
        <v>141</v>
      </c>
      <c r="K495" t="s">
        <v>25</v>
      </c>
      <c r="L495" t="s">
        <v>30</v>
      </c>
      <c r="M495" t="b">
        <v>1</v>
      </c>
      <c r="N495" t="s">
        <v>1297</v>
      </c>
      <c r="Q495" t="b">
        <v>0</v>
      </c>
      <c r="T495" t="str">
        <f>"9780310867302"</f>
        <v>9780310867302</v>
      </c>
      <c r="U495" t="b">
        <v>0</v>
      </c>
      <c r="W495" t="b">
        <v>0</v>
      </c>
    </row>
    <row r="496" spans="1:23" x14ac:dyDescent="0.3">
      <c r="A496">
        <v>2983073</v>
      </c>
      <c r="B496">
        <v>28.39</v>
      </c>
      <c r="C496" t="s">
        <v>1298</v>
      </c>
      <c r="D496" t="s">
        <v>1299</v>
      </c>
      <c r="E496" t="s">
        <v>23</v>
      </c>
      <c r="F496" t="s">
        <v>1282</v>
      </c>
      <c r="G496">
        <v>2009</v>
      </c>
      <c r="H496" t="s">
        <v>531</v>
      </c>
      <c r="K496" t="s">
        <v>25</v>
      </c>
      <c r="L496" t="s">
        <v>30</v>
      </c>
      <c r="M496" t="b">
        <v>1</v>
      </c>
      <c r="N496" t="s">
        <v>1297</v>
      </c>
      <c r="Q496" t="b">
        <v>0</v>
      </c>
      <c r="T496" t="str">
        <f>"9780310569138"</f>
        <v>9780310569138</v>
      </c>
      <c r="U496" t="b">
        <v>0</v>
      </c>
      <c r="W496" t="b">
        <v>0</v>
      </c>
    </row>
    <row r="497" spans="1:23" x14ac:dyDescent="0.3">
      <c r="A497">
        <v>2983072</v>
      </c>
      <c r="B497">
        <v>58.62</v>
      </c>
      <c r="C497" t="s">
        <v>1300</v>
      </c>
      <c r="D497" t="s">
        <v>1301</v>
      </c>
      <c r="E497" t="s">
        <v>23</v>
      </c>
      <c r="F497" t="s">
        <v>1282</v>
      </c>
      <c r="G497">
        <v>2010</v>
      </c>
      <c r="H497" t="s">
        <v>1302</v>
      </c>
      <c r="I497" t="s">
        <v>1303</v>
      </c>
      <c r="J497" t="s">
        <v>1304</v>
      </c>
      <c r="K497" t="s">
        <v>25</v>
      </c>
      <c r="L497" t="s">
        <v>30</v>
      </c>
      <c r="M497" t="b">
        <v>1</v>
      </c>
      <c r="N497" t="s">
        <v>129</v>
      </c>
      <c r="O497" t="str">
        <f>"212/.1"</f>
        <v>212/.1</v>
      </c>
      <c r="P497" t="s">
        <v>130</v>
      </c>
      <c r="Q497" t="b">
        <v>0</v>
      </c>
      <c r="S497" t="str">
        <f>"9780310745839"</f>
        <v>9780310745839</v>
      </c>
      <c r="T497" t="str">
        <f>"9780310835240"</f>
        <v>9780310835240</v>
      </c>
      <c r="U497" t="b">
        <v>0</v>
      </c>
      <c r="V497" t="s">
        <v>1305</v>
      </c>
      <c r="W497" t="b">
        <v>0</v>
      </c>
    </row>
    <row r="498" spans="1:23" x14ac:dyDescent="0.3">
      <c r="A498">
        <v>2983071</v>
      </c>
      <c r="B498">
        <v>58.62</v>
      </c>
      <c r="C498" t="s">
        <v>1306</v>
      </c>
      <c r="D498" t="s">
        <v>1307</v>
      </c>
      <c r="E498" t="s">
        <v>23</v>
      </c>
      <c r="F498" t="s">
        <v>1282</v>
      </c>
      <c r="G498">
        <v>2017</v>
      </c>
      <c r="H498" t="s">
        <v>1293</v>
      </c>
      <c r="I498" t="s">
        <v>1308</v>
      </c>
      <c r="J498" t="s">
        <v>1309</v>
      </c>
      <c r="K498" t="s">
        <v>25</v>
      </c>
      <c r="L498" t="s">
        <v>30</v>
      </c>
      <c r="M498" t="b">
        <v>1</v>
      </c>
      <c r="N498" t="s">
        <v>129</v>
      </c>
      <c r="O498" t="str">
        <f>"232.9/08"</f>
        <v>232.9/08</v>
      </c>
      <c r="P498" t="s">
        <v>130</v>
      </c>
      <c r="Q498" t="b">
        <v>0</v>
      </c>
      <c r="S498" t="str">
        <f>"9780310745648"</f>
        <v>9780310745648</v>
      </c>
      <c r="T498" t="str">
        <f>"9780310835301"</f>
        <v>9780310835301</v>
      </c>
      <c r="U498" t="b">
        <v>0</v>
      </c>
      <c r="V498" t="s">
        <v>1305</v>
      </c>
      <c r="W498" t="b">
        <v>0</v>
      </c>
    </row>
    <row r="499" spans="1:23" x14ac:dyDescent="0.3">
      <c r="A499">
        <v>2983070</v>
      </c>
      <c r="B499">
        <v>28.39</v>
      </c>
      <c r="C499" t="s">
        <v>122</v>
      </c>
      <c r="E499" t="s">
        <v>23</v>
      </c>
      <c r="F499" t="s">
        <v>28</v>
      </c>
      <c r="G499">
        <v>2010</v>
      </c>
      <c r="H499" t="s">
        <v>123</v>
      </c>
      <c r="K499" t="s">
        <v>25</v>
      </c>
      <c r="L499" t="s">
        <v>30</v>
      </c>
      <c r="M499" t="b">
        <v>1</v>
      </c>
      <c r="N499" t="s">
        <v>915</v>
      </c>
      <c r="P499" t="s">
        <v>125</v>
      </c>
      <c r="Q499" t="b">
        <v>0</v>
      </c>
      <c r="S499" t="str">
        <f>"9780310719915"</f>
        <v>9780310719915</v>
      </c>
      <c r="T499" t="str">
        <f>"9780310586845"</f>
        <v>9780310586845</v>
      </c>
      <c r="U499" t="b">
        <v>0</v>
      </c>
      <c r="W499" t="b">
        <v>0</v>
      </c>
    </row>
    <row r="500" spans="1:23" x14ac:dyDescent="0.3">
      <c r="A500">
        <v>2983069</v>
      </c>
      <c r="B500">
        <v>17.73</v>
      </c>
      <c r="C500" t="s">
        <v>1310</v>
      </c>
      <c r="E500" t="s">
        <v>23</v>
      </c>
      <c r="F500" t="s">
        <v>28</v>
      </c>
      <c r="G500">
        <v>2009</v>
      </c>
      <c r="H500" t="s">
        <v>718</v>
      </c>
      <c r="K500" t="s">
        <v>25</v>
      </c>
      <c r="L500" t="s">
        <v>30</v>
      </c>
      <c r="M500" t="b">
        <v>1</v>
      </c>
      <c r="N500" t="s">
        <v>272</v>
      </c>
      <c r="P500" t="s">
        <v>1311</v>
      </c>
      <c r="Q500" t="b">
        <v>1</v>
      </c>
      <c r="T500" t="str">
        <f>"9780310568896"</f>
        <v>9780310568896</v>
      </c>
      <c r="U500" t="b">
        <v>0</v>
      </c>
      <c r="W500" t="b">
        <v>0</v>
      </c>
    </row>
    <row r="501" spans="1:23" x14ac:dyDescent="0.3">
      <c r="A501">
        <v>2983068</v>
      </c>
      <c r="B501">
        <v>55.17</v>
      </c>
      <c r="C501" t="s">
        <v>296</v>
      </c>
      <c r="D501" t="s">
        <v>1312</v>
      </c>
      <c r="E501" t="s">
        <v>23</v>
      </c>
      <c r="F501" t="s">
        <v>28</v>
      </c>
      <c r="G501">
        <v>2016</v>
      </c>
      <c r="H501" t="s">
        <v>168</v>
      </c>
      <c r="K501" t="s">
        <v>25</v>
      </c>
      <c r="L501" t="s">
        <v>26</v>
      </c>
      <c r="M501" t="b">
        <v>1</v>
      </c>
      <c r="N501" t="s">
        <v>44</v>
      </c>
      <c r="Q501" t="b">
        <v>0</v>
      </c>
      <c r="S501" t="str">
        <f>"9780310758099"</f>
        <v>9780310758099</v>
      </c>
      <c r="T501" t="str">
        <f>"9780310758082"</f>
        <v>9780310758082</v>
      </c>
      <c r="U501" t="b">
        <v>0</v>
      </c>
      <c r="W501" t="b">
        <v>0</v>
      </c>
    </row>
    <row r="502" spans="1:23" x14ac:dyDescent="0.3">
      <c r="A502">
        <v>2983067</v>
      </c>
      <c r="B502">
        <v>10.32</v>
      </c>
      <c r="C502" t="s">
        <v>1313</v>
      </c>
      <c r="D502" t="s">
        <v>1314</v>
      </c>
      <c r="E502" t="s">
        <v>23</v>
      </c>
      <c r="F502" t="s">
        <v>28</v>
      </c>
      <c r="G502">
        <v>2015</v>
      </c>
      <c r="H502" t="s">
        <v>1315</v>
      </c>
      <c r="K502" t="s">
        <v>25</v>
      </c>
      <c r="L502" t="s">
        <v>30</v>
      </c>
      <c r="M502" t="b">
        <v>1</v>
      </c>
      <c r="N502" t="s">
        <v>44</v>
      </c>
      <c r="P502" t="s">
        <v>1316</v>
      </c>
      <c r="Q502" t="b">
        <v>0</v>
      </c>
      <c r="S502" t="str">
        <f>"9780310743804"</f>
        <v>9780310743804</v>
      </c>
      <c r="T502" t="str">
        <f>"9780310744795"</f>
        <v>9780310744795</v>
      </c>
      <c r="U502" t="b">
        <v>0</v>
      </c>
      <c r="W502" t="b">
        <v>0</v>
      </c>
    </row>
    <row r="503" spans="1:23" x14ac:dyDescent="0.3">
      <c r="A503">
        <v>2983065</v>
      </c>
      <c r="B503">
        <v>44.82</v>
      </c>
      <c r="C503" t="s">
        <v>1317</v>
      </c>
      <c r="D503" t="s">
        <v>1318</v>
      </c>
      <c r="E503" t="s">
        <v>23</v>
      </c>
      <c r="F503" t="s">
        <v>28</v>
      </c>
      <c r="G503">
        <v>2017</v>
      </c>
      <c r="H503" t="s">
        <v>1315</v>
      </c>
      <c r="K503" t="s">
        <v>25</v>
      </c>
      <c r="L503" t="s">
        <v>26</v>
      </c>
      <c r="M503" t="b">
        <v>1</v>
      </c>
      <c r="N503" t="s">
        <v>44</v>
      </c>
      <c r="P503" t="s">
        <v>1319</v>
      </c>
      <c r="Q503" t="b">
        <v>0</v>
      </c>
      <c r="S503" t="str">
        <f>"9780310761303"</f>
        <v>9780310761303</v>
      </c>
      <c r="T503" t="str">
        <f>"9780310761341"</f>
        <v>9780310761341</v>
      </c>
      <c r="U503" t="b">
        <v>0</v>
      </c>
      <c r="W503" t="b">
        <v>0</v>
      </c>
    </row>
    <row r="504" spans="1:23" x14ac:dyDescent="0.3">
      <c r="A504">
        <v>2983064</v>
      </c>
      <c r="B504">
        <v>17.73</v>
      </c>
      <c r="C504" t="s">
        <v>1320</v>
      </c>
      <c r="E504" t="s">
        <v>23</v>
      </c>
      <c r="F504" t="s">
        <v>28</v>
      </c>
      <c r="G504">
        <v>2013</v>
      </c>
      <c r="H504" t="s">
        <v>710</v>
      </c>
      <c r="K504" t="s">
        <v>25</v>
      </c>
      <c r="L504" t="s">
        <v>30</v>
      </c>
      <c r="M504" t="b">
        <v>1</v>
      </c>
      <c r="N504" t="s">
        <v>1321</v>
      </c>
      <c r="P504" t="s">
        <v>1322</v>
      </c>
      <c r="Q504" t="b">
        <v>0</v>
      </c>
      <c r="T504" t="str">
        <f>"9780310742906"</f>
        <v>9780310742906</v>
      </c>
      <c r="U504" t="b">
        <v>0</v>
      </c>
      <c r="W504" t="b">
        <v>0</v>
      </c>
    </row>
    <row r="505" spans="1:23" x14ac:dyDescent="0.3">
      <c r="A505">
        <v>2983063</v>
      </c>
      <c r="B505">
        <v>44.82</v>
      </c>
      <c r="C505" t="s">
        <v>1323</v>
      </c>
      <c r="D505" t="s">
        <v>1324</v>
      </c>
      <c r="E505" t="s">
        <v>23</v>
      </c>
      <c r="F505" t="s">
        <v>28</v>
      </c>
      <c r="G505">
        <v>2017</v>
      </c>
      <c r="H505" t="s">
        <v>1315</v>
      </c>
      <c r="K505" t="s">
        <v>25</v>
      </c>
      <c r="L505" t="s">
        <v>26</v>
      </c>
      <c r="M505" t="b">
        <v>1</v>
      </c>
      <c r="N505" t="s">
        <v>44</v>
      </c>
      <c r="P505" t="s">
        <v>1319</v>
      </c>
      <c r="Q505" t="b">
        <v>0</v>
      </c>
      <c r="S505" t="str">
        <f>"9780310761358"</f>
        <v>9780310761358</v>
      </c>
      <c r="T505" t="str">
        <f>"9780310761365"</f>
        <v>9780310761365</v>
      </c>
      <c r="U505" t="b">
        <v>0</v>
      </c>
      <c r="W505" t="b">
        <v>0</v>
      </c>
    </row>
    <row r="506" spans="1:23" x14ac:dyDescent="0.3">
      <c r="A506">
        <v>2983062</v>
      </c>
      <c r="B506">
        <v>17.73</v>
      </c>
      <c r="C506" t="s">
        <v>1325</v>
      </c>
      <c r="E506" t="s">
        <v>23</v>
      </c>
      <c r="F506" t="s">
        <v>28</v>
      </c>
      <c r="G506">
        <v>2009</v>
      </c>
      <c r="H506" t="s">
        <v>718</v>
      </c>
      <c r="K506" t="s">
        <v>25</v>
      </c>
      <c r="L506" t="s">
        <v>30</v>
      </c>
      <c r="M506" t="b">
        <v>1</v>
      </c>
      <c r="N506" t="s">
        <v>272</v>
      </c>
      <c r="P506" t="s">
        <v>1311</v>
      </c>
      <c r="Q506" t="b">
        <v>1</v>
      </c>
      <c r="T506" t="str">
        <f>"9780310567752"</f>
        <v>9780310567752</v>
      </c>
      <c r="U506" t="b">
        <v>0</v>
      </c>
      <c r="W506" t="b">
        <v>0</v>
      </c>
    </row>
    <row r="507" spans="1:23" x14ac:dyDescent="0.3">
      <c r="A507">
        <v>2983060</v>
      </c>
      <c r="B507">
        <v>42.61</v>
      </c>
      <c r="C507" t="s">
        <v>1326</v>
      </c>
      <c r="E507" t="s">
        <v>23</v>
      </c>
      <c r="F507" t="s">
        <v>28</v>
      </c>
      <c r="G507">
        <v>2011</v>
      </c>
      <c r="H507" t="s">
        <v>1315</v>
      </c>
      <c r="K507" t="s">
        <v>25</v>
      </c>
      <c r="L507" t="s">
        <v>30</v>
      </c>
      <c r="M507" t="b">
        <v>1</v>
      </c>
      <c r="N507" t="s">
        <v>44</v>
      </c>
      <c r="Q507" t="b">
        <v>0</v>
      </c>
      <c r="T507" t="str">
        <f>"9780310729761"</f>
        <v>9780310729761</v>
      </c>
      <c r="U507" t="b">
        <v>0</v>
      </c>
      <c r="W507" t="b">
        <v>0</v>
      </c>
    </row>
    <row r="508" spans="1:23" x14ac:dyDescent="0.3">
      <c r="A508">
        <v>2983059</v>
      </c>
      <c r="B508">
        <v>35.5</v>
      </c>
      <c r="C508" t="s">
        <v>1327</v>
      </c>
      <c r="D508" t="s">
        <v>1328</v>
      </c>
      <c r="E508" t="s">
        <v>23</v>
      </c>
      <c r="F508" t="s">
        <v>28</v>
      </c>
      <c r="G508">
        <v>2010</v>
      </c>
      <c r="H508" t="s">
        <v>168</v>
      </c>
      <c r="K508" t="s">
        <v>25</v>
      </c>
      <c r="L508" t="s">
        <v>30</v>
      </c>
      <c r="M508" t="b">
        <v>1</v>
      </c>
      <c r="N508" t="s">
        <v>992</v>
      </c>
      <c r="Q508" t="b">
        <v>0</v>
      </c>
      <c r="S508" t="str">
        <f>"9780310716006"</f>
        <v>9780310716006</v>
      </c>
      <c r="T508" t="str">
        <f>"9780310876762"</f>
        <v>9780310876762</v>
      </c>
      <c r="U508" t="b">
        <v>0</v>
      </c>
      <c r="W508" t="b">
        <v>0</v>
      </c>
    </row>
    <row r="509" spans="1:23" x14ac:dyDescent="0.3">
      <c r="A509">
        <v>2983058</v>
      </c>
      <c r="B509">
        <v>35.5</v>
      </c>
      <c r="C509" t="s">
        <v>1329</v>
      </c>
      <c r="D509" t="s">
        <v>1330</v>
      </c>
      <c r="E509" t="s">
        <v>23</v>
      </c>
      <c r="F509" t="s">
        <v>28</v>
      </c>
      <c r="G509">
        <v>2010</v>
      </c>
      <c r="H509" t="s">
        <v>1331</v>
      </c>
      <c r="K509" t="s">
        <v>25</v>
      </c>
      <c r="L509" t="s">
        <v>30</v>
      </c>
      <c r="M509" t="b">
        <v>1</v>
      </c>
      <c r="N509" t="s">
        <v>1332</v>
      </c>
      <c r="Q509" t="b">
        <v>0</v>
      </c>
      <c r="T509" t="str">
        <f>"9780310424154"</f>
        <v>9780310424154</v>
      </c>
      <c r="U509" t="b">
        <v>0</v>
      </c>
      <c r="W509" t="b">
        <v>0</v>
      </c>
    </row>
    <row r="510" spans="1:23" x14ac:dyDescent="0.3">
      <c r="A510">
        <v>2983057</v>
      </c>
      <c r="B510">
        <v>27.57</v>
      </c>
      <c r="C510" t="s">
        <v>1333</v>
      </c>
      <c r="E510" t="s">
        <v>23</v>
      </c>
      <c r="F510" t="s">
        <v>28</v>
      </c>
      <c r="G510">
        <v>2010</v>
      </c>
      <c r="H510" t="s">
        <v>1334</v>
      </c>
      <c r="K510" t="s">
        <v>25</v>
      </c>
      <c r="L510" t="s">
        <v>30</v>
      </c>
      <c r="M510" t="b">
        <v>1</v>
      </c>
      <c r="N510" t="s">
        <v>1335</v>
      </c>
      <c r="P510" t="s">
        <v>1322</v>
      </c>
      <c r="Q510" t="b">
        <v>0</v>
      </c>
      <c r="S510" t="str">
        <f>"9780310738305"</f>
        <v>9780310738305</v>
      </c>
      <c r="T510" t="str">
        <f>"9780310409175"</f>
        <v>9780310409175</v>
      </c>
      <c r="U510" t="b">
        <v>0</v>
      </c>
      <c r="W510" t="b">
        <v>0</v>
      </c>
    </row>
    <row r="511" spans="1:23" x14ac:dyDescent="0.3">
      <c r="A511">
        <v>2983056</v>
      </c>
      <c r="B511">
        <v>17.73</v>
      </c>
      <c r="C511" t="s">
        <v>1336</v>
      </c>
      <c r="E511" t="s">
        <v>23</v>
      </c>
      <c r="F511" t="s">
        <v>28</v>
      </c>
      <c r="G511">
        <v>2009</v>
      </c>
      <c r="H511" t="s">
        <v>1337</v>
      </c>
      <c r="K511" t="s">
        <v>25</v>
      </c>
      <c r="L511" t="s">
        <v>30</v>
      </c>
      <c r="M511" t="b">
        <v>1</v>
      </c>
      <c r="N511" t="s">
        <v>1338</v>
      </c>
      <c r="P511" t="s">
        <v>1339</v>
      </c>
      <c r="Q511" t="b">
        <v>1</v>
      </c>
      <c r="T511" t="str">
        <f>"9780310568179"</f>
        <v>9780310568179</v>
      </c>
      <c r="U511" t="b">
        <v>0</v>
      </c>
      <c r="W511" t="b">
        <v>0</v>
      </c>
    </row>
    <row r="512" spans="1:23" x14ac:dyDescent="0.3">
      <c r="A512">
        <v>2983054</v>
      </c>
      <c r="B512">
        <v>24.12</v>
      </c>
      <c r="C512" t="s">
        <v>1340</v>
      </c>
      <c r="E512" t="s">
        <v>23</v>
      </c>
      <c r="F512" t="s">
        <v>28</v>
      </c>
      <c r="G512">
        <v>2013</v>
      </c>
      <c r="H512" t="s">
        <v>701</v>
      </c>
      <c r="K512" t="s">
        <v>25</v>
      </c>
      <c r="L512" t="s">
        <v>26</v>
      </c>
      <c r="M512" t="b">
        <v>1</v>
      </c>
      <c r="N512" t="s">
        <v>1341</v>
      </c>
      <c r="P512" t="s">
        <v>1322</v>
      </c>
      <c r="Q512" t="b">
        <v>0</v>
      </c>
      <c r="S512" t="str">
        <f>"9780310719359"</f>
        <v>9780310719359</v>
      </c>
      <c r="T512" t="str">
        <f>"9780310429302"</f>
        <v>9780310429302</v>
      </c>
      <c r="U512" t="b">
        <v>0</v>
      </c>
      <c r="W512" t="b">
        <v>0</v>
      </c>
    </row>
    <row r="513" spans="1:23" x14ac:dyDescent="0.3">
      <c r="A513">
        <v>2983053</v>
      </c>
      <c r="B513">
        <v>86.22</v>
      </c>
      <c r="C513" t="s">
        <v>1342</v>
      </c>
      <c r="E513" t="s">
        <v>23</v>
      </c>
      <c r="F513" t="s">
        <v>28</v>
      </c>
      <c r="G513">
        <v>2011</v>
      </c>
      <c r="H513" t="s">
        <v>1343</v>
      </c>
      <c r="K513" t="s">
        <v>25</v>
      </c>
      <c r="L513" t="s">
        <v>30</v>
      </c>
      <c r="M513" t="b">
        <v>1</v>
      </c>
      <c r="N513" t="s">
        <v>44</v>
      </c>
      <c r="P513" t="s">
        <v>146</v>
      </c>
      <c r="Q513" t="b">
        <v>0</v>
      </c>
      <c r="S513" t="str">
        <f>"9780310757047"</f>
        <v>9780310757047</v>
      </c>
      <c r="T513" t="str">
        <f>"9780310729921"</f>
        <v>9780310729921</v>
      </c>
      <c r="U513" t="b">
        <v>0</v>
      </c>
      <c r="W513" t="b">
        <v>0</v>
      </c>
    </row>
    <row r="514" spans="1:23" x14ac:dyDescent="0.3">
      <c r="A514">
        <v>2983052</v>
      </c>
      <c r="B514">
        <v>27.57</v>
      </c>
      <c r="C514" t="s">
        <v>1344</v>
      </c>
      <c r="E514" t="s">
        <v>23</v>
      </c>
      <c r="F514" t="s">
        <v>28</v>
      </c>
      <c r="G514">
        <v>2010</v>
      </c>
      <c r="H514" t="s">
        <v>1345</v>
      </c>
      <c r="K514" t="s">
        <v>25</v>
      </c>
      <c r="L514" t="s">
        <v>30</v>
      </c>
      <c r="M514" t="b">
        <v>1</v>
      </c>
      <c r="N514" t="s">
        <v>1346</v>
      </c>
      <c r="P514" t="s">
        <v>1347</v>
      </c>
      <c r="Q514" t="b">
        <v>0</v>
      </c>
      <c r="S514" t="str">
        <f>"9780310716921"</f>
        <v>9780310716921</v>
      </c>
      <c r="T514" t="str">
        <f>"9780310429333"</f>
        <v>9780310429333</v>
      </c>
      <c r="U514" t="b">
        <v>0</v>
      </c>
      <c r="W514" t="b">
        <v>0</v>
      </c>
    </row>
    <row r="515" spans="1:23" x14ac:dyDescent="0.3">
      <c r="A515">
        <v>2983051</v>
      </c>
      <c r="B515">
        <v>71.03</v>
      </c>
      <c r="C515" t="s">
        <v>1348</v>
      </c>
      <c r="E515" t="s">
        <v>23</v>
      </c>
      <c r="F515" t="s">
        <v>28</v>
      </c>
      <c r="G515">
        <v>2013</v>
      </c>
      <c r="H515" t="s">
        <v>1349</v>
      </c>
      <c r="K515" t="s">
        <v>25</v>
      </c>
      <c r="L515" t="s">
        <v>30</v>
      </c>
      <c r="M515" t="b">
        <v>1</v>
      </c>
      <c r="N515" t="s">
        <v>44</v>
      </c>
      <c r="Q515" t="b">
        <v>0</v>
      </c>
      <c r="T515" t="str">
        <f>"9780310736806"</f>
        <v>9780310736806</v>
      </c>
      <c r="U515" t="b">
        <v>0</v>
      </c>
      <c r="W515" t="b">
        <v>0</v>
      </c>
    </row>
    <row r="516" spans="1:23" x14ac:dyDescent="0.3">
      <c r="A516">
        <v>2983050</v>
      </c>
      <c r="B516">
        <v>28.39</v>
      </c>
      <c r="C516" t="s">
        <v>1350</v>
      </c>
      <c r="E516" t="s">
        <v>23</v>
      </c>
      <c r="F516" t="s">
        <v>28</v>
      </c>
      <c r="G516">
        <v>2015</v>
      </c>
      <c r="H516" t="s">
        <v>1351</v>
      </c>
      <c r="K516" t="s">
        <v>25</v>
      </c>
      <c r="L516" t="s">
        <v>26</v>
      </c>
      <c r="M516" t="b">
        <v>1</v>
      </c>
      <c r="N516" t="s">
        <v>1352</v>
      </c>
      <c r="P516" t="s">
        <v>1353</v>
      </c>
      <c r="Q516" t="b">
        <v>1</v>
      </c>
      <c r="T516" t="str">
        <f>"9780310737698"</f>
        <v>9780310737698</v>
      </c>
      <c r="U516" t="b">
        <v>0</v>
      </c>
      <c r="W516" t="b">
        <v>0</v>
      </c>
    </row>
    <row r="517" spans="1:23" x14ac:dyDescent="0.3">
      <c r="A517">
        <v>2983049</v>
      </c>
      <c r="B517">
        <v>17.73</v>
      </c>
      <c r="C517" t="s">
        <v>1354</v>
      </c>
      <c r="E517" t="s">
        <v>23</v>
      </c>
      <c r="F517" t="s">
        <v>28</v>
      </c>
      <c r="G517">
        <v>2009</v>
      </c>
      <c r="H517" t="s">
        <v>718</v>
      </c>
      <c r="K517" t="s">
        <v>25</v>
      </c>
      <c r="L517" t="s">
        <v>30</v>
      </c>
      <c r="M517" t="b">
        <v>1</v>
      </c>
      <c r="N517" t="s">
        <v>272</v>
      </c>
      <c r="P517" t="s">
        <v>1311</v>
      </c>
      <c r="Q517" t="b">
        <v>1</v>
      </c>
      <c r="T517" t="str">
        <f>"9780310567691"</f>
        <v>9780310567691</v>
      </c>
      <c r="U517" t="b">
        <v>0</v>
      </c>
      <c r="W517" t="b">
        <v>0</v>
      </c>
    </row>
    <row r="518" spans="1:23" x14ac:dyDescent="0.3">
      <c r="A518">
        <v>2983047</v>
      </c>
      <c r="B518">
        <v>27.57</v>
      </c>
      <c r="C518" t="s">
        <v>1355</v>
      </c>
      <c r="D518" t="s">
        <v>1356</v>
      </c>
      <c r="E518" t="s">
        <v>23</v>
      </c>
      <c r="F518" t="s">
        <v>28</v>
      </c>
      <c r="G518">
        <v>2014</v>
      </c>
      <c r="H518" t="s">
        <v>1334</v>
      </c>
      <c r="K518" t="s">
        <v>25</v>
      </c>
      <c r="L518" t="s">
        <v>30</v>
      </c>
      <c r="M518" t="b">
        <v>1</v>
      </c>
      <c r="N518" t="s">
        <v>1335</v>
      </c>
      <c r="P518" t="s">
        <v>1322</v>
      </c>
      <c r="Q518" t="b">
        <v>0</v>
      </c>
      <c r="T518" t="str">
        <f>"9780310738312"</f>
        <v>9780310738312</v>
      </c>
      <c r="U518" t="b">
        <v>0</v>
      </c>
      <c r="W518" t="b">
        <v>0</v>
      </c>
    </row>
    <row r="519" spans="1:23" x14ac:dyDescent="0.3">
      <c r="A519">
        <v>2983046</v>
      </c>
      <c r="B519">
        <v>120.72</v>
      </c>
      <c r="C519" t="s">
        <v>1357</v>
      </c>
      <c r="E519" t="s">
        <v>23</v>
      </c>
      <c r="F519" t="s">
        <v>28</v>
      </c>
      <c r="G519">
        <v>2014</v>
      </c>
      <c r="H519" t="s">
        <v>1315</v>
      </c>
      <c r="K519" t="s">
        <v>25</v>
      </c>
      <c r="L519" t="s">
        <v>26</v>
      </c>
      <c r="M519" t="b">
        <v>1</v>
      </c>
      <c r="N519" t="s">
        <v>1358</v>
      </c>
      <c r="P519" t="s">
        <v>234</v>
      </c>
      <c r="Q519" t="b">
        <v>0</v>
      </c>
      <c r="S519" t="str">
        <f>"9780310727422"</f>
        <v>9780310727422</v>
      </c>
      <c r="T519" t="str">
        <f>"9780310426325"</f>
        <v>9780310426325</v>
      </c>
      <c r="U519" t="b">
        <v>0</v>
      </c>
      <c r="W519" t="b">
        <v>0</v>
      </c>
    </row>
    <row r="520" spans="1:23" x14ac:dyDescent="0.3">
      <c r="A520">
        <v>2983045</v>
      </c>
      <c r="B520">
        <v>34.47</v>
      </c>
      <c r="C520" t="s">
        <v>1359</v>
      </c>
      <c r="E520" t="s">
        <v>23</v>
      </c>
      <c r="F520" t="s">
        <v>28</v>
      </c>
      <c r="G520">
        <v>2017</v>
      </c>
      <c r="H520" t="s">
        <v>375</v>
      </c>
      <c r="K520" t="s">
        <v>25</v>
      </c>
      <c r="L520" t="s">
        <v>26</v>
      </c>
      <c r="M520" t="b">
        <v>1</v>
      </c>
      <c r="N520" t="s">
        <v>146</v>
      </c>
      <c r="P520" t="s">
        <v>146</v>
      </c>
      <c r="Q520" t="b">
        <v>0</v>
      </c>
      <c r="S520" t="str">
        <f>"9780310755364"</f>
        <v>9780310755364</v>
      </c>
      <c r="T520" t="str">
        <f>"9780310755425"</f>
        <v>9780310755425</v>
      </c>
      <c r="U520" t="b">
        <v>0</v>
      </c>
      <c r="W520" t="b">
        <v>0</v>
      </c>
    </row>
    <row r="521" spans="1:23" x14ac:dyDescent="0.3">
      <c r="A521">
        <v>2983044</v>
      </c>
      <c r="B521">
        <v>27.57</v>
      </c>
      <c r="C521" t="s">
        <v>1360</v>
      </c>
      <c r="E521" t="s">
        <v>23</v>
      </c>
      <c r="F521" t="s">
        <v>28</v>
      </c>
      <c r="G521">
        <v>2015</v>
      </c>
      <c r="H521" t="s">
        <v>123</v>
      </c>
      <c r="K521" t="s">
        <v>25</v>
      </c>
      <c r="L521" t="s">
        <v>30</v>
      </c>
      <c r="M521" t="b">
        <v>1</v>
      </c>
      <c r="N521" t="s">
        <v>1361</v>
      </c>
      <c r="P521" t="s">
        <v>125</v>
      </c>
      <c r="Q521" t="b">
        <v>0</v>
      </c>
      <c r="S521" t="str">
        <f>"9780310736561"</f>
        <v>9780310736561</v>
      </c>
      <c r="T521" t="str">
        <f>"9780310736585"</f>
        <v>9780310736585</v>
      </c>
      <c r="U521" t="b">
        <v>0</v>
      </c>
      <c r="W521" t="b">
        <v>0</v>
      </c>
    </row>
    <row r="522" spans="1:23" x14ac:dyDescent="0.3">
      <c r="A522">
        <v>2983043</v>
      </c>
      <c r="B522">
        <v>31.02</v>
      </c>
      <c r="C522" t="s">
        <v>1362</v>
      </c>
      <c r="E522" t="s">
        <v>23</v>
      </c>
      <c r="F522" t="s">
        <v>28</v>
      </c>
      <c r="G522">
        <v>2018</v>
      </c>
      <c r="H522" t="s">
        <v>123</v>
      </c>
      <c r="K522" t="s">
        <v>25</v>
      </c>
      <c r="L522" t="s">
        <v>26</v>
      </c>
      <c r="M522" t="b">
        <v>1</v>
      </c>
      <c r="N522" t="s">
        <v>1363</v>
      </c>
      <c r="P522" t="s">
        <v>125</v>
      </c>
      <c r="Q522" t="b">
        <v>0</v>
      </c>
      <c r="S522" t="str">
        <f>"9780310748649"</f>
        <v>9780310748649</v>
      </c>
      <c r="T522" t="str">
        <f>"9780310747215"</f>
        <v>9780310747215</v>
      </c>
      <c r="U522" t="b">
        <v>0</v>
      </c>
      <c r="W522" t="b">
        <v>0</v>
      </c>
    </row>
    <row r="523" spans="1:23" x14ac:dyDescent="0.3">
      <c r="A523">
        <v>2983042</v>
      </c>
      <c r="B523">
        <v>44.82</v>
      </c>
      <c r="C523" t="s">
        <v>1364</v>
      </c>
      <c r="D523" t="s">
        <v>1365</v>
      </c>
      <c r="E523" t="s">
        <v>23</v>
      </c>
      <c r="F523" t="s">
        <v>28</v>
      </c>
      <c r="G523">
        <v>2017</v>
      </c>
      <c r="H523" t="s">
        <v>1315</v>
      </c>
      <c r="K523" t="s">
        <v>25</v>
      </c>
      <c r="L523" t="s">
        <v>26</v>
      </c>
      <c r="M523" t="b">
        <v>1</v>
      </c>
      <c r="N523" t="s">
        <v>44</v>
      </c>
      <c r="P523" t="s">
        <v>1319</v>
      </c>
      <c r="Q523" t="b">
        <v>0</v>
      </c>
      <c r="S523" t="str">
        <f>"9780310761334"</f>
        <v>9780310761334</v>
      </c>
      <c r="T523" t="str">
        <f>"9780310761389"</f>
        <v>9780310761389</v>
      </c>
      <c r="U523" t="b">
        <v>0</v>
      </c>
      <c r="W523" t="b">
        <v>0</v>
      </c>
    </row>
    <row r="524" spans="1:23" x14ac:dyDescent="0.3">
      <c r="A524">
        <v>2983041</v>
      </c>
      <c r="B524">
        <v>42.61</v>
      </c>
      <c r="C524" t="s">
        <v>1366</v>
      </c>
      <c r="E524" t="s">
        <v>23</v>
      </c>
      <c r="F524" t="s">
        <v>28</v>
      </c>
      <c r="G524">
        <v>2011</v>
      </c>
      <c r="H524" t="s">
        <v>1367</v>
      </c>
      <c r="K524" t="s">
        <v>25</v>
      </c>
      <c r="L524" t="s">
        <v>30</v>
      </c>
      <c r="M524" t="b">
        <v>1</v>
      </c>
      <c r="N524" t="s">
        <v>1368</v>
      </c>
      <c r="Q524" t="b">
        <v>1</v>
      </c>
      <c r="T524" t="str">
        <f>"9780310866909"</f>
        <v>9780310866909</v>
      </c>
      <c r="U524" t="b">
        <v>0</v>
      </c>
      <c r="W524" t="b">
        <v>0</v>
      </c>
    </row>
    <row r="525" spans="1:23" x14ac:dyDescent="0.3">
      <c r="A525">
        <v>2983040</v>
      </c>
      <c r="B525">
        <v>51.72</v>
      </c>
      <c r="C525" t="s">
        <v>1369</v>
      </c>
      <c r="D525" t="s">
        <v>1370</v>
      </c>
      <c r="E525" t="s">
        <v>23</v>
      </c>
      <c r="F525" t="s">
        <v>28</v>
      </c>
      <c r="G525">
        <v>2019</v>
      </c>
      <c r="H525" t="s">
        <v>708</v>
      </c>
      <c r="K525" t="s">
        <v>25</v>
      </c>
      <c r="L525" t="s">
        <v>26</v>
      </c>
      <c r="M525" t="b">
        <v>1</v>
      </c>
      <c r="N525" t="s">
        <v>918</v>
      </c>
      <c r="Q525" t="b">
        <v>0</v>
      </c>
      <c r="S525" t="str">
        <f>"9780310768623"</f>
        <v>9780310768623</v>
      </c>
      <c r="T525" t="str">
        <f>"9780310768609"</f>
        <v>9780310768609</v>
      </c>
      <c r="U525" t="b">
        <v>0</v>
      </c>
      <c r="W525" t="b">
        <v>0</v>
      </c>
    </row>
    <row r="526" spans="1:23" x14ac:dyDescent="0.3">
      <c r="A526">
        <v>2983039</v>
      </c>
      <c r="B526">
        <v>21.29</v>
      </c>
      <c r="C526" t="s">
        <v>1371</v>
      </c>
      <c r="E526" t="s">
        <v>23</v>
      </c>
      <c r="F526" t="s">
        <v>28</v>
      </c>
      <c r="G526">
        <v>2009</v>
      </c>
      <c r="H526" t="s">
        <v>718</v>
      </c>
      <c r="K526" t="s">
        <v>25</v>
      </c>
      <c r="L526" t="s">
        <v>30</v>
      </c>
      <c r="M526" t="b">
        <v>1</v>
      </c>
      <c r="N526" t="s">
        <v>83</v>
      </c>
      <c r="P526" t="s">
        <v>1372</v>
      </c>
      <c r="Q526" t="b">
        <v>1</v>
      </c>
      <c r="S526" t="str">
        <f>"9780310714514"</f>
        <v>9780310714514</v>
      </c>
      <c r="T526" t="str">
        <f>"9780310567875"</f>
        <v>9780310567875</v>
      </c>
      <c r="U526" t="b">
        <v>0</v>
      </c>
      <c r="W526" t="b">
        <v>0</v>
      </c>
    </row>
    <row r="527" spans="1:23" x14ac:dyDescent="0.3">
      <c r="A527">
        <v>2983038</v>
      </c>
      <c r="B527">
        <v>44.82</v>
      </c>
      <c r="C527" t="s">
        <v>1373</v>
      </c>
      <c r="D527" t="s">
        <v>1374</v>
      </c>
      <c r="E527" t="s">
        <v>23</v>
      </c>
      <c r="F527" t="s">
        <v>28</v>
      </c>
      <c r="G527">
        <v>2017</v>
      </c>
      <c r="H527" t="s">
        <v>1315</v>
      </c>
      <c r="K527" t="s">
        <v>25</v>
      </c>
      <c r="L527" t="s">
        <v>26</v>
      </c>
      <c r="M527" t="b">
        <v>1</v>
      </c>
      <c r="N527" t="s">
        <v>44</v>
      </c>
      <c r="P527" t="s">
        <v>1319</v>
      </c>
      <c r="Q527" t="b">
        <v>0</v>
      </c>
      <c r="S527" t="str">
        <f>"9780310761310"</f>
        <v>9780310761310</v>
      </c>
      <c r="T527" t="str">
        <f>"9780310761372"</f>
        <v>9780310761372</v>
      </c>
      <c r="U527" t="b">
        <v>0</v>
      </c>
      <c r="W527" t="b">
        <v>0</v>
      </c>
    </row>
    <row r="528" spans="1:23" x14ac:dyDescent="0.3">
      <c r="A528">
        <v>2983037</v>
      </c>
      <c r="B528">
        <v>35.5</v>
      </c>
      <c r="C528" t="s">
        <v>1375</v>
      </c>
      <c r="E528" t="s">
        <v>23</v>
      </c>
      <c r="F528" t="s">
        <v>28</v>
      </c>
      <c r="G528">
        <v>2014</v>
      </c>
      <c r="H528" t="s">
        <v>1376</v>
      </c>
      <c r="K528" t="s">
        <v>25</v>
      </c>
      <c r="L528" t="s">
        <v>26</v>
      </c>
      <c r="M528" t="b">
        <v>1</v>
      </c>
      <c r="N528" t="s">
        <v>44</v>
      </c>
      <c r="Q528" t="b">
        <v>0</v>
      </c>
      <c r="T528" t="str">
        <f>"9780310744528"</f>
        <v>9780310744528</v>
      </c>
      <c r="U528" t="b">
        <v>0</v>
      </c>
      <c r="W528" t="b">
        <v>0</v>
      </c>
    </row>
    <row r="529" spans="1:23" x14ac:dyDescent="0.3">
      <c r="A529">
        <v>2983036</v>
      </c>
      <c r="B529">
        <v>24.84</v>
      </c>
      <c r="C529" t="s">
        <v>1377</v>
      </c>
      <c r="E529" t="s">
        <v>23</v>
      </c>
      <c r="F529" t="s">
        <v>28</v>
      </c>
      <c r="G529">
        <v>2009</v>
      </c>
      <c r="H529" t="s">
        <v>41</v>
      </c>
      <c r="K529" t="s">
        <v>25</v>
      </c>
      <c r="L529" t="s">
        <v>30</v>
      </c>
      <c r="M529" t="b">
        <v>1</v>
      </c>
      <c r="N529" t="s">
        <v>1378</v>
      </c>
      <c r="P529" t="s">
        <v>1379</v>
      </c>
      <c r="Q529" t="b">
        <v>1</v>
      </c>
      <c r="T529" t="str">
        <f>"9780310870531"</f>
        <v>9780310870531</v>
      </c>
      <c r="U529" t="b">
        <v>0</v>
      </c>
      <c r="W529" t="b">
        <v>0</v>
      </c>
    </row>
    <row r="530" spans="1:23" x14ac:dyDescent="0.3">
      <c r="A530">
        <v>2983035</v>
      </c>
      <c r="B530">
        <v>17.73</v>
      </c>
      <c r="C530" t="s">
        <v>1380</v>
      </c>
      <c r="E530" t="s">
        <v>23</v>
      </c>
      <c r="F530" t="s">
        <v>28</v>
      </c>
      <c r="G530">
        <v>2010</v>
      </c>
      <c r="H530" t="s">
        <v>1337</v>
      </c>
      <c r="K530" t="s">
        <v>25</v>
      </c>
      <c r="L530" t="s">
        <v>30</v>
      </c>
      <c r="M530" t="b">
        <v>1</v>
      </c>
      <c r="N530" t="s">
        <v>550</v>
      </c>
      <c r="P530" t="s">
        <v>1381</v>
      </c>
      <c r="Q530" t="b">
        <v>1</v>
      </c>
      <c r="T530" t="str">
        <f>"9780310872597"</f>
        <v>9780310872597</v>
      </c>
      <c r="U530" t="b">
        <v>0</v>
      </c>
      <c r="W530" t="b">
        <v>0</v>
      </c>
    </row>
    <row r="531" spans="1:23" x14ac:dyDescent="0.3">
      <c r="A531">
        <v>2983034</v>
      </c>
      <c r="B531">
        <v>27.57</v>
      </c>
      <c r="C531" t="s">
        <v>1382</v>
      </c>
      <c r="E531" t="s">
        <v>23</v>
      </c>
      <c r="F531" t="s">
        <v>28</v>
      </c>
      <c r="G531">
        <v>2010</v>
      </c>
      <c r="H531" t="s">
        <v>861</v>
      </c>
      <c r="K531" t="s">
        <v>25</v>
      </c>
      <c r="L531" t="s">
        <v>30</v>
      </c>
      <c r="M531" t="b">
        <v>1</v>
      </c>
      <c r="N531" t="s">
        <v>915</v>
      </c>
      <c r="P531" t="s">
        <v>125</v>
      </c>
      <c r="Q531" t="b">
        <v>1</v>
      </c>
      <c r="S531" t="str">
        <f>"9780310719922"</f>
        <v>9780310719922</v>
      </c>
      <c r="T531" t="str">
        <f>"9780310586906"</f>
        <v>9780310586906</v>
      </c>
      <c r="U531" t="b">
        <v>0</v>
      </c>
      <c r="W531" t="b">
        <v>0</v>
      </c>
    </row>
    <row r="532" spans="1:23" x14ac:dyDescent="0.3">
      <c r="A532">
        <v>2983033</v>
      </c>
      <c r="B532">
        <v>7.07</v>
      </c>
      <c r="C532" t="s">
        <v>1383</v>
      </c>
      <c r="E532" t="s">
        <v>23</v>
      </c>
      <c r="F532" t="s">
        <v>28</v>
      </c>
      <c r="G532">
        <v>2013</v>
      </c>
      <c r="H532" t="s">
        <v>1384</v>
      </c>
      <c r="K532" t="s">
        <v>25</v>
      </c>
      <c r="L532" t="s">
        <v>30</v>
      </c>
      <c r="M532" t="b">
        <v>1</v>
      </c>
      <c r="N532" t="s">
        <v>44</v>
      </c>
      <c r="P532" t="s">
        <v>1316</v>
      </c>
      <c r="Q532" t="b">
        <v>0</v>
      </c>
      <c r="T532" t="str">
        <f>"9780310741923"</f>
        <v>9780310741923</v>
      </c>
      <c r="U532" t="b">
        <v>0</v>
      </c>
      <c r="W532" t="b">
        <v>0</v>
      </c>
    </row>
    <row r="533" spans="1:23" x14ac:dyDescent="0.3">
      <c r="A533">
        <v>2983032</v>
      </c>
      <c r="B533">
        <v>17.73</v>
      </c>
      <c r="C533" t="s">
        <v>1385</v>
      </c>
      <c r="E533" t="s">
        <v>23</v>
      </c>
      <c r="F533" t="s">
        <v>28</v>
      </c>
      <c r="G533">
        <v>2009</v>
      </c>
      <c r="H533" t="s">
        <v>718</v>
      </c>
      <c r="K533" t="s">
        <v>25</v>
      </c>
      <c r="L533" t="s">
        <v>30</v>
      </c>
      <c r="M533" t="b">
        <v>1</v>
      </c>
      <c r="N533" t="s">
        <v>272</v>
      </c>
      <c r="P533" t="s">
        <v>1311</v>
      </c>
      <c r="Q533" t="b">
        <v>1</v>
      </c>
      <c r="T533" t="str">
        <f>"9780310567578"</f>
        <v>9780310567578</v>
      </c>
      <c r="U533" t="b">
        <v>0</v>
      </c>
      <c r="W533" t="b">
        <v>0</v>
      </c>
    </row>
    <row r="534" spans="1:23" x14ac:dyDescent="0.3">
      <c r="A534">
        <v>2983031</v>
      </c>
      <c r="B534">
        <v>44.82</v>
      </c>
      <c r="C534" t="s">
        <v>1386</v>
      </c>
      <c r="D534" t="s">
        <v>1387</v>
      </c>
      <c r="E534" t="s">
        <v>23</v>
      </c>
      <c r="F534" t="s">
        <v>28</v>
      </c>
      <c r="G534">
        <v>2012</v>
      </c>
      <c r="H534" t="s">
        <v>1388</v>
      </c>
      <c r="K534" t="s">
        <v>25</v>
      </c>
      <c r="L534" t="s">
        <v>30</v>
      </c>
      <c r="M534" t="b">
        <v>1</v>
      </c>
      <c r="N534" t="s">
        <v>1389</v>
      </c>
      <c r="Q534" t="b">
        <v>0</v>
      </c>
      <c r="S534" t="str">
        <f>"9780310729983"</f>
        <v>9780310729983</v>
      </c>
      <c r="T534" t="str">
        <f>"9780310729990"</f>
        <v>9780310729990</v>
      </c>
      <c r="U534" t="b">
        <v>0</v>
      </c>
      <c r="W534" t="b">
        <v>0</v>
      </c>
    </row>
    <row r="535" spans="1:23" x14ac:dyDescent="0.3">
      <c r="A535">
        <v>2983030</v>
      </c>
      <c r="B535">
        <v>14.18</v>
      </c>
      <c r="C535" t="s">
        <v>1390</v>
      </c>
      <c r="E535" t="s">
        <v>23</v>
      </c>
      <c r="F535" t="s">
        <v>28</v>
      </c>
      <c r="G535">
        <v>2009</v>
      </c>
      <c r="H535" t="s">
        <v>1337</v>
      </c>
      <c r="K535" t="s">
        <v>25</v>
      </c>
      <c r="L535" t="s">
        <v>30</v>
      </c>
      <c r="M535" t="b">
        <v>1</v>
      </c>
      <c r="N535" t="s">
        <v>1338</v>
      </c>
      <c r="P535" t="s">
        <v>1339</v>
      </c>
      <c r="Q535" t="b">
        <v>1</v>
      </c>
      <c r="T535" t="str">
        <f>"9780310567455"</f>
        <v>9780310567455</v>
      </c>
      <c r="U535" t="b">
        <v>0</v>
      </c>
      <c r="W535" t="b">
        <v>0</v>
      </c>
    </row>
    <row r="536" spans="1:23" x14ac:dyDescent="0.3">
      <c r="A536">
        <v>2983029</v>
      </c>
      <c r="B536">
        <v>17.73</v>
      </c>
      <c r="C536" t="s">
        <v>1391</v>
      </c>
      <c r="E536" t="s">
        <v>23</v>
      </c>
      <c r="F536" t="s">
        <v>28</v>
      </c>
      <c r="G536">
        <v>2009</v>
      </c>
      <c r="H536" t="s">
        <v>1337</v>
      </c>
      <c r="K536" t="s">
        <v>25</v>
      </c>
      <c r="L536" t="s">
        <v>30</v>
      </c>
      <c r="M536" t="b">
        <v>1</v>
      </c>
      <c r="N536" t="s">
        <v>1338</v>
      </c>
      <c r="P536" t="s">
        <v>1339</v>
      </c>
      <c r="Q536" t="b">
        <v>1</v>
      </c>
      <c r="T536" t="str">
        <f>"9780310568117"</f>
        <v>9780310568117</v>
      </c>
      <c r="U536" t="b">
        <v>0</v>
      </c>
      <c r="W536" t="b">
        <v>0</v>
      </c>
    </row>
    <row r="537" spans="1:23" x14ac:dyDescent="0.3">
      <c r="A537">
        <v>2983028</v>
      </c>
      <c r="B537">
        <v>35.5</v>
      </c>
      <c r="C537" t="s">
        <v>1392</v>
      </c>
      <c r="E537" t="s">
        <v>23</v>
      </c>
      <c r="F537" t="s">
        <v>28</v>
      </c>
      <c r="G537">
        <v>2010</v>
      </c>
      <c r="H537" t="s">
        <v>141</v>
      </c>
      <c r="K537" t="s">
        <v>25</v>
      </c>
      <c r="L537" t="s">
        <v>30</v>
      </c>
      <c r="M537" t="b">
        <v>1</v>
      </c>
      <c r="N537" t="s">
        <v>1393</v>
      </c>
      <c r="P537" t="s">
        <v>1392</v>
      </c>
      <c r="Q537" t="b">
        <v>0</v>
      </c>
      <c r="T537" t="str">
        <f>"9780310423751"</f>
        <v>9780310423751</v>
      </c>
      <c r="U537" t="b">
        <v>0</v>
      </c>
      <c r="W537" t="b">
        <v>0</v>
      </c>
    </row>
    <row r="538" spans="1:23" x14ac:dyDescent="0.3">
      <c r="A538">
        <v>2983027</v>
      </c>
      <c r="B538">
        <v>17.22</v>
      </c>
      <c r="C538" t="s">
        <v>1394</v>
      </c>
      <c r="D538" t="s">
        <v>93</v>
      </c>
      <c r="E538" t="s">
        <v>23</v>
      </c>
      <c r="F538" t="s">
        <v>28</v>
      </c>
      <c r="G538">
        <v>2011</v>
      </c>
      <c r="H538" t="s">
        <v>144</v>
      </c>
      <c r="K538" t="s">
        <v>25</v>
      </c>
      <c r="L538" t="s">
        <v>30</v>
      </c>
      <c r="M538" t="b">
        <v>1</v>
      </c>
      <c r="N538" t="s">
        <v>480</v>
      </c>
      <c r="P538" t="s">
        <v>1395</v>
      </c>
      <c r="Q538" t="b">
        <v>0</v>
      </c>
      <c r="S538" t="str">
        <f>"9780310721550"</f>
        <v>9780310721550</v>
      </c>
      <c r="T538" t="str">
        <f>"9780310409120"</f>
        <v>9780310409120</v>
      </c>
      <c r="U538" t="b">
        <v>0</v>
      </c>
      <c r="W538" t="b">
        <v>0</v>
      </c>
    </row>
    <row r="539" spans="1:23" x14ac:dyDescent="0.3">
      <c r="A539">
        <v>2983026</v>
      </c>
      <c r="B539">
        <v>28.39</v>
      </c>
      <c r="C539" t="s">
        <v>1396</v>
      </c>
      <c r="D539" t="s">
        <v>1397</v>
      </c>
      <c r="E539" t="s">
        <v>23</v>
      </c>
      <c r="F539" t="s">
        <v>28</v>
      </c>
      <c r="G539">
        <v>2009</v>
      </c>
      <c r="H539" t="s">
        <v>168</v>
      </c>
      <c r="K539" t="s">
        <v>25</v>
      </c>
      <c r="L539" t="s">
        <v>30</v>
      </c>
      <c r="M539" t="b">
        <v>1</v>
      </c>
      <c r="N539" t="s">
        <v>1398</v>
      </c>
      <c r="P539" t="s">
        <v>84</v>
      </c>
      <c r="Q539" t="b">
        <v>0</v>
      </c>
      <c r="S539" t="str">
        <f>"9780310711438"</f>
        <v>9780310711438</v>
      </c>
      <c r="T539" t="str">
        <f>"9780310567097"</f>
        <v>9780310567097</v>
      </c>
      <c r="U539" t="b">
        <v>0</v>
      </c>
      <c r="W539" t="b">
        <v>0</v>
      </c>
    </row>
    <row r="540" spans="1:23" x14ac:dyDescent="0.3">
      <c r="A540">
        <v>2983025</v>
      </c>
      <c r="B540">
        <v>53.27</v>
      </c>
      <c r="C540" t="s">
        <v>1399</v>
      </c>
      <c r="E540" t="s">
        <v>23</v>
      </c>
      <c r="F540" t="s">
        <v>28</v>
      </c>
      <c r="G540">
        <v>2012</v>
      </c>
      <c r="H540" t="s">
        <v>1315</v>
      </c>
      <c r="K540" t="s">
        <v>25</v>
      </c>
      <c r="L540" t="s">
        <v>26</v>
      </c>
      <c r="M540" t="b">
        <v>1</v>
      </c>
      <c r="N540" t="s">
        <v>28</v>
      </c>
      <c r="Q540" t="b">
        <v>0</v>
      </c>
      <c r="T540" t="str">
        <f>"9780310726555"</f>
        <v>9780310726555</v>
      </c>
      <c r="U540" t="b">
        <v>0</v>
      </c>
      <c r="W540" t="b">
        <v>0</v>
      </c>
    </row>
    <row r="541" spans="1:23" x14ac:dyDescent="0.3">
      <c r="A541">
        <v>2983024</v>
      </c>
      <c r="B541">
        <v>21.29</v>
      </c>
      <c r="C541" t="s">
        <v>1400</v>
      </c>
      <c r="E541" t="s">
        <v>23</v>
      </c>
      <c r="F541" t="s">
        <v>28</v>
      </c>
      <c r="G541">
        <v>2009</v>
      </c>
      <c r="H541" t="s">
        <v>492</v>
      </c>
      <c r="K541" t="s">
        <v>25</v>
      </c>
      <c r="L541" t="s">
        <v>30</v>
      </c>
      <c r="M541" t="b">
        <v>1</v>
      </c>
      <c r="N541" t="s">
        <v>83</v>
      </c>
      <c r="P541" t="s">
        <v>1372</v>
      </c>
      <c r="Q541" t="b">
        <v>1</v>
      </c>
      <c r="S541" t="str">
        <f>"9780310714507"</f>
        <v>9780310714507</v>
      </c>
      <c r="T541" t="str">
        <f>"9780310567813"</f>
        <v>9780310567813</v>
      </c>
      <c r="U541" t="b">
        <v>0</v>
      </c>
      <c r="W541" t="b">
        <v>0</v>
      </c>
    </row>
    <row r="542" spans="1:23" x14ac:dyDescent="0.3">
      <c r="A542">
        <v>2983023</v>
      </c>
      <c r="B542">
        <v>113.82</v>
      </c>
      <c r="C542" t="s">
        <v>1401</v>
      </c>
      <c r="D542" t="s">
        <v>1402</v>
      </c>
      <c r="E542" t="s">
        <v>23</v>
      </c>
      <c r="F542" t="s">
        <v>28</v>
      </c>
      <c r="G542">
        <v>2012</v>
      </c>
      <c r="H542" t="s">
        <v>1403</v>
      </c>
      <c r="K542" t="s">
        <v>25</v>
      </c>
      <c r="L542" t="s">
        <v>26</v>
      </c>
      <c r="M542" t="b">
        <v>1</v>
      </c>
      <c r="N542" t="s">
        <v>44</v>
      </c>
      <c r="Q542" t="b">
        <v>0</v>
      </c>
      <c r="S542" t="str">
        <f>"9780310744856"</f>
        <v>9780310744856</v>
      </c>
      <c r="T542" t="str">
        <f>"9780310726548"</f>
        <v>9780310726548</v>
      </c>
      <c r="U542" t="b">
        <v>0</v>
      </c>
      <c r="W542" t="b">
        <v>0</v>
      </c>
    </row>
    <row r="543" spans="1:23" x14ac:dyDescent="0.3">
      <c r="A543">
        <v>2983022</v>
      </c>
      <c r="B543">
        <v>17.73</v>
      </c>
      <c r="C543" t="s">
        <v>1404</v>
      </c>
      <c r="D543" t="s">
        <v>1405</v>
      </c>
      <c r="E543" t="s">
        <v>23</v>
      </c>
      <c r="F543" t="s">
        <v>28</v>
      </c>
      <c r="G543">
        <v>2011</v>
      </c>
      <c r="H543" t="s">
        <v>1406</v>
      </c>
      <c r="K543" t="s">
        <v>25</v>
      </c>
      <c r="L543" t="s">
        <v>30</v>
      </c>
      <c r="M543" t="b">
        <v>1</v>
      </c>
      <c r="N543" t="s">
        <v>1407</v>
      </c>
      <c r="P543" t="s">
        <v>1408</v>
      </c>
      <c r="Q543" t="b">
        <v>1</v>
      </c>
      <c r="T543" t="str">
        <f>"9780310728146"</f>
        <v>9780310728146</v>
      </c>
      <c r="U543" t="b">
        <v>0</v>
      </c>
      <c r="W543" t="b">
        <v>0</v>
      </c>
    </row>
    <row r="544" spans="1:23" x14ac:dyDescent="0.3">
      <c r="A544">
        <v>2983021</v>
      </c>
      <c r="B544">
        <v>34.47</v>
      </c>
      <c r="C544" t="s">
        <v>1409</v>
      </c>
      <c r="E544" t="s">
        <v>23</v>
      </c>
      <c r="F544" t="s">
        <v>28</v>
      </c>
      <c r="G544">
        <v>2010</v>
      </c>
      <c r="H544" t="s">
        <v>123</v>
      </c>
      <c r="K544" t="s">
        <v>25</v>
      </c>
      <c r="L544" t="s">
        <v>30</v>
      </c>
      <c r="M544" t="b">
        <v>1</v>
      </c>
      <c r="N544" t="s">
        <v>915</v>
      </c>
      <c r="P544" t="s">
        <v>125</v>
      </c>
      <c r="Q544" t="b">
        <v>0</v>
      </c>
      <c r="S544" t="str">
        <f>"9780310719908"</f>
        <v>9780310719908</v>
      </c>
      <c r="T544" t="str">
        <f>"9780310586777"</f>
        <v>9780310586777</v>
      </c>
      <c r="U544" t="b">
        <v>0</v>
      </c>
      <c r="W544" t="b">
        <v>0</v>
      </c>
    </row>
    <row r="545" spans="1:23" x14ac:dyDescent="0.3">
      <c r="A545">
        <v>2983020</v>
      </c>
      <c r="B545">
        <v>34.47</v>
      </c>
      <c r="C545" t="s">
        <v>1410</v>
      </c>
      <c r="E545" t="s">
        <v>23</v>
      </c>
      <c r="F545" t="s">
        <v>28</v>
      </c>
      <c r="G545">
        <v>2013</v>
      </c>
      <c r="H545" t="s">
        <v>1411</v>
      </c>
      <c r="K545" t="s">
        <v>25</v>
      </c>
      <c r="L545" t="s">
        <v>30</v>
      </c>
      <c r="M545" t="b">
        <v>1</v>
      </c>
      <c r="N545" t="s">
        <v>1412</v>
      </c>
      <c r="Q545" t="b">
        <v>0</v>
      </c>
      <c r="S545" t="str">
        <f>"9780310739050"</f>
        <v>9780310739050</v>
      </c>
      <c r="T545" t="str">
        <f>"9780310739067"</f>
        <v>9780310739067</v>
      </c>
      <c r="U545" t="b">
        <v>0</v>
      </c>
      <c r="W545" t="b">
        <v>0</v>
      </c>
    </row>
    <row r="546" spans="1:23" x14ac:dyDescent="0.3">
      <c r="A546">
        <v>2983019</v>
      </c>
      <c r="B546">
        <v>17.22</v>
      </c>
      <c r="C546" t="s">
        <v>1413</v>
      </c>
      <c r="D546" t="s">
        <v>93</v>
      </c>
      <c r="E546" t="s">
        <v>23</v>
      </c>
      <c r="F546" t="s">
        <v>28</v>
      </c>
      <c r="G546">
        <v>2011</v>
      </c>
      <c r="H546" t="s">
        <v>34</v>
      </c>
      <c r="K546" t="s">
        <v>25</v>
      </c>
      <c r="L546" t="s">
        <v>26</v>
      </c>
      <c r="M546" t="b">
        <v>1</v>
      </c>
      <c r="N546" t="s">
        <v>275</v>
      </c>
      <c r="P546" t="s">
        <v>1414</v>
      </c>
      <c r="Q546" t="b">
        <v>1</v>
      </c>
      <c r="S546" t="str">
        <f>"9780310717416"</f>
        <v>9780310717416</v>
      </c>
      <c r="T546" t="str">
        <f>"9780310869016"</f>
        <v>9780310869016</v>
      </c>
      <c r="U546" t="b">
        <v>0</v>
      </c>
      <c r="W546" t="b">
        <v>0</v>
      </c>
    </row>
    <row r="547" spans="1:23" x14ac:dyDescent="0.3">
      <c r="A547">
        <v>2983018</v>
      </c>
      <c r="B547">
        <v>53.27</v>
      </c>
      <c r="C547" t="s">
        <v>1415</v>
      </c>
      <c r="D547" t="s">
        <v>1416</v>
      </c>
      <c r="E547" t="s">
        <v>23</v>
      </c>
      <c r="F547" t="s">
        <v>28</v>
      </c>
      <c r="G547">
        <v>2011</v>
      </c>
      <c r="H547" t="s">
        <v>748</v>
      </c>
      <c r="K547" t="s">
        <v>25</v>
      </c>
      <c r="L547" t="s">
        <v>30</v>
      </c>
      <c r="M547" t="b">
        <v>1</v>
      </c>
      <c r="N547" t="s">
        <v>1417</v>
      </c>
      <c r="Q547" t="b">
        <v>0</v>
      </c>
      <c r="T547" t="str">
        <f>"9780310725398"</f>
        <v>9780310725398</v>
      </c>
      <c r="U547" t="b">
        <v>0</v>
      </c>
      <c r="W547" t="b">
        <v>0</v>
      </c>
    </row>
    <row r="548" spans="1:23" x14ac:dyDescent="0.3">
      <c r="A548">
        <v>2983017</v>
      </c>
      <c r="B548">
        <v>28.39</v>
      </c>
      <c r="C548" t="s">
        <v>1418</v>
      </c>
      <c r="D548" t="s">
        <v>1419</v>
      </c>
      <c r="E548" t="s">
        <v>23</v>
      </c>
      <c r="F548" t="s">
        <v>28</v>
      </c>
      <c r="G548">
        <v>2009</v>
      </c>
      <c r="H548" t="s">
        <v>1420</v>
      </c>
      <c r="K548" t="s">
        <v>25</v>
      </c>
      <c r="L548" t="s">
        <v>30</v>
      </c>
      <c r="M548" t="b">
        <v>1</v>
      </c>
      <c r="N548" t="s">
        <v>83</v>
      </c>
      <c r="P548" t="s">
        <v>84</v>
      </c>
      <c r="Q548" t="b">
        <v>0</v>
      </c>
      <c r="S548" t="str">
        <f>"9780310714965"</f>
        <v>9780310714965</v>
      </c>
      <c r="T548" t="str">
        <f>"9780310567271"</f>
        <v>9780310567271</v>
      </c>
      <c r="U548" t="b">
        <v>0</v>
      </c>
      <c r="W548" t="b">
        <v>0</v>
      </c>
    </row>
    <row r="549" spans="1:23" x14ac:dyDescent="0.3">
      <c r="A549">
        <v>2983016</v>
      </c>
      <c r="B549">
        <v>35.5</v>
      </c>
      <c r="C549" t="s">
        <v>1421</v>
      </c>
      <c r="E549" t="s">
        <v>23</v>
      </c>
      <c r="F549" t="s">
        <v>28</v>
      </c>
      <c r="G549">
        <v>2013</v>
      </c>
      <c r="H549" t="s">
        <v>1422</v>
      </c>
      <c r="K549" t="s">
        <v>25</v>
      </c>
      <c r="L549" t="s">
        <v>30</v>
      </c>
      <c r="M549" t="b">
        <v>1</v>
      </c>
      <c r="N549" t="s">
        <v>1423</v>
      </c>
      <c r="P549" t="s">
        <v>1424</v>
      </c>
      <c r="Q549" t="b">
        <v>1</v>
      </c>
      <c r="S549" t="str">
        <f>"9780310736073"</f>
        <v>9780310736073</v>
      </c>
      <c r="T549" t="str">
        <f>"9780310735526"</f>
        <v>9780310735526</v>
      </c>
      <c r="U549" t="b">
        <v>0</v>
      </c>
      <c r="W549" t="b">
        <v>0</v>
      </c>
    </row>
    <row r="550" spans="1:23" x14ac:dyDescent="0.3">
      <c r="A550">
        <v>2983015</v>
      </c>
      <c r="B550">
        <v>17.73</v>
      </c>
      <c r="C550" t="s">
        <v>1425</v>
      </c>
      <c r="E550" t="s">
        <v>23</v>
      </c>
      <c r="F550" t="s">
        <v>28</v>
      </c>
      <c r="G550">
        <v>2009</v>
      </c>
      <c r="H550" t="s">
        <v>718</v>
      </c>
      <c r="K550" t="s">
        <v>25</v>
      </c>
      <c r="L550" t="s">
        <v>30</v>
      </c>
      <c r="M550" t="b">
        <v>1</v>
      </c>
      <c r="N550" t="s">
        <v>272</v>
      </c>
      <c r="P550" t="s">
        <v>1311</v>
      </c>
      <c r="Q550" t="b">
        <v>1</v>
      </c>
      <c r="T550" t="str">
        <f>"9780310833925"</f>
        <v>9780310833925</v>
      </c>
      <c r="U550" t="b">
        <v>0</v>
      </c>
      <c r="W550" t="b">
        <v>0</v>
      </c>
    </row>
    <row r="551" spans="1:23" x14ac:dyDescent="0.3">
      <c r="A551">
        <v>2983014</v>
      </c>
      <c r="B551">
        <v>58.62</v>
      </c>
      <c r="C551" t="s">
        <v>1426</v>
      </c>
      <c r="E551" t="s">
        <v>23</v>
      </c>
      <c r="F551" t="s">
        <v>28</v>
      </c>
      <c r="G551">
        <v>2018</v>
      </c>
      <c r="H551" t="s">
        <v>144</v>
      </c>
      <c r="K551" t="s">
        <v>25</v>
      </c>
      <c r="L551" t="s">
        <v>26</v>
      </c>
      <c r="M551" t="b">
        <v>1</v>
      </c>
      <c r="N551" t="s">
        <v>146</v>
      </c>
      <c r="P551" t="s">
        <v>146</v>
      </c>
      <c r="Q551" t="b">
        <v>0</v>
      </c>
      <c r="S551" t="str">
        <f>"9780310765035"</f>
        <v>9780310765035</v>
      </c>
      <c r="T551" t="str">
        <f>"9780310765042"</f>
        <v>9780310765042</v>
      </c>
      <c r="U551" t="b">
        <v>0</v>
      </c>
      <c r="W551" t="b">
        <v>0</v>
      </c>
    </row>
    <row r="552" spans="1:23" x14ac:dyDescent="0.3">
      <c r="A552">
        <v>2983013</v>
      </c>
      <c r="B552">
        <v>44.82</v>
      </c>
      <c r="C552" t="s">
        <v>1427</v>
      </c>
      <c r="D552" t="s">
        <v>1428</v>
      </c>
      <c r="E552" t="s">
        <v>23</v>
      </c>
      <c r="F552" t="s">
        <v>28</v>
      </c>
      <c r="G552">
        <v>2013</v>
      </c>
      <c r="H552" t="s">
        <v>834</v>
      </c>
      <c r="K552" t="s">
        <v>25</v>
      </c>
      <c r="L552" t="s">
        <v>30</v>
      </c>
      <c r="M552" t="b">
        <v>1</v>
      </c>
      <c r="N552" t="s">
        <v>918</v>
      </c>
      <c r="Q552" t="b">
        <v>0</v>
      </c>
      <c r="S552" t="str">
        <f>"9780310742876"</f>
        <v>9780310742876</v>
      </c>
      <c r="T552" t="str">
        <f>"9780310742890"</f>
        <v>9780310742890</v>
      </c>
      <c r="U552" t="b">
        <v>0</v>
      </c>
      <c r="W552" t="b">
        <v>0</v>
      </c>
    </row>
    <row r="553" spans="1:23" x14ac:dyDescent="0.3">
      <c r="A553">
        <v>2983012</v>
      </c>
      <c r="B553">
        <v>31.95</v>
      </c>
      <c r="C553" t="s">
        <v>1429</v>
      </c>
      <c r="D553" t="s">
        <v>1430</v>
      </c>
      <c r="E553" t="s">
        <v>23</v>
      </c>
      <c r="F553" t="s">
        <v>28</v>
      </c>
      <c r="G553">
        <v>2011</v>
      </c>
      <c r="H553" t="s">
        <v>168</v>
      </c>
      <c r="K553" t="s">
        <v>25</v>
      </c>
      <c r="L553" t="s">
        <v>30</v>
      </c>
      <c r="M553" t="b">
        <v>1</v>
      </c>
      <c r="N553" t="s">
        <v>275</v>
      </c>
      <c r="P553" t="s">
        <v>84</v>
      </c>
      <c r="Q553" t="b">
        <v>0</v>
      </c>
      <c r="T553" t="str">
        <f>"9780310730194"</f>
        <v>9780310730194</v>
      </c>
      <c r="U553" t="b">
        <v>0</v>
      </c>
      <c r="W553" t="b">
        <v>0</v>
      </c>
    </row>
    <row r="554" spans="1:23" x14ac:dyDescent="0.3">
      <c r="A554">
        <v>2983011</v>
      </c>
      <c r="B554">
        <v>17.73</v>
      </c>
      <c r="C554" t="s">
        <v>1431</v>
      </c>
      <c r="E554" t="s">
        <v>23</v>
      </c>
      <c r="F554" t="s">
        <v>28</v>
      </c>
      <c r="G554">
        <v>2009</v>
      </c>
      <c r="H554" t="s">
        <v>1337</v>
      </c>
      <c r="K554" t="s">
        <v>25</v>
      </c>
      <c r="L554" t="s">
        <v>30</v>
      </c>
      <c r="M554" t="b">
        <v>1</v>
      </c>
      <c r="N554" t="s">
        <v>1338</v>
      </c>
      <c r="P554" t="s">
        <v>1339</v>
      </c>
      <c r="Q554" t="b">
        <v>1</v>
      </c>
      <c r="T554" t="str">
        <f>"9780310567998"</f>
        <v>9780310567998</v>
      </c>
      <c r="U554" t="b">
        <v>0</v>
      </c>
      <c r="W554" t="b">
        <v>0</v>
      </c>
    </row>
    <row r="555" spans="1:23" x14ac:dyDescent="0.3">
      <c r="A555">
        <v>2983010</v>
      </c>
      <c r="B555">
        <v>53.27</v>
      </c>
      <c r="C555" t="s">
        <v>1432</v>
      </c>
      <c r="D555" t="s">
        <v>1433</v>
      </c>
      <c r="E555" t="s">
        <v>23</v>
      </c>
      <c r="F555" t="s">
        <v>28</v>
      </c>
      <c r="G555">
        <v>2014</v>
      </c>
      <c r="H555" t="s">
        <v>863</v>
      </c>
      <c r="K555" t="s">
        <v>25</v>
      </c>
      <c r="L555" t="s">
        <v>26</v>
      </c>
      <c r="M555" t="b">
        <v>1</v>
      </c>
      <c r="N555" t="s">
        <v>28</v>
      </c>
      <c r="Q555" t="b">
        <v>0</v>
      </c>
      <c r="S555" t="str">
        <f>"9780310726005"</f>
        <v>9780310726005</v>
      </c>
      <c r="T555" t="str">
        <f>"9780310726517"</f>
        <v>9780310726517</v>
      </c>
      <c r="U555" t="b">
        <v>0</v>
      </c>
      <c r="W555" t="b">
        <v>0</v>
      </c>
    </row>
    <row r="556" spans="1:23" x14ac:dyDescent="0.3">
      <c r="A556">
        <v>2983009</v>
      </c>
      <c r="B556">
        <v>120.72</v>
      </c>
      <c r="C556" t="s">
        <v>1434</v>
      </c>
      <c r="E556" t="s">
        <v>23</v>
      </c>
      <c r="F556" t="s">
        <v>28</v>
      </c>
      <c r="G556">
        <v>2015</v>
      </c>
      <c r="H556" t="s">
        <v>1403</v>
      </c>
      <c r="K556" t="s">
        <v>25</v>
      </c>
      <c r="L556" t="s">
        <v>26</v>
      </c>
      <c r="M556" t="b">
        <v>1</v>
      </c>
      <c r="N556" t="s">
        <v>44</v>
      </c>
      <c r="Q556" t="b">
        <v>0</v>
      </c>
      <c r="S556" t="str">
        <f>"9780310744030"</f>
        <v>9780310744030</v>
      </c>
      <c r="T556" t="str">
        <f>"9780310749615"</f>
        <v>9780310749615</v>
      </c>
      <c r="U556" t="b">
        <v>0</v>
      </c>
      <c r="W556" t="b">
        <v>0</v>
      </c>
    </row>
    <row r="557" spans="1:23" x14ac:dyDescent="0.3">
      <c r="A557">
        <v>2983001</v>
      </c>
      <c r="B557">
        <v>42.61</v>
      </c>
      <c r="C557" t="s">
        <v>1435</v>
      </c>
      <c r="D557" t="s">
        <v>1436</v>
      </c>
      <c r="E557" t="s">
        <v>23</v>
      </c>
      <c r="F557" t="s">
        <v>1282</v>
      </c>
      <c r="G557">
        <v>2009</v>
      </c>
      <c r="H557" t="s">
        <v>168</v>
      </c>
      <c r="K557" t="s">
        <v>25</v>
      </c>
      <c r="L557" t="s">
        <v>30</v>
      </c>
      <c r="M557" t="b">
        <v>1</v>
      </c>
      <c r="N557" t="s">
        <v>1437</v>
      </c>
      <c r="Q557" t="b">
        <v>0</v>
      </c>
      <c r="T557" t="str">
        <f>"9780310851240"</f>
        <v>9780310851240</v>
      </c>
      <c r="U557" t="b">
        <v>0</v>
      </c>
      <c r="W557" t="b">
        <v>0</v>
      </c>
    </row>
    <row r="558" spans="1:23" x14ac:dyDescent="0.3">
      <c r="A558">
        <v>2983000</v>
      </c>
      <c r="B558">
        <v>51.72</v>
      </c>
      <c r="C558" t="s">
        <v>1438</v>
      </c>
      <c r="D558" t="s">
        <v>1287</v>
      </c>
      <c r="E558" t="s">
        <v>23</v>
      </c>
      <c r="F558" t="s">
        <v>44</v>
      </c>
      <c r="G558">
        <v>2009</v>
      </c>
      <c r="H558" t="s">
        <v>50</v>
      </c>
      <c r="K558" t="s">
        <v>25</v>
      </c>
      <c r="L558" t="s">
        <v>30</v>
      </c>
      <c r="M558" t="b">
        <v>1</v>
      </c>
      <c r="N558" t="s">
        <v>1288</v>
      </c>
      <c r="P558" t="s">
        <v>1274</v>
      </c>
      <c r="Q558" t="b">
        <v>0</v>
      </c>
      <c r="S558" t="str">
        <f>"9780310284932"</f>
        <v>9780310284932</v>
      </c>
      <c r="T558" t="str">
        <f>"9780310867524"</f>
        <v>9780310867524</v>
      </c>
      <c r="U558" t="b">
        <v>0</v>
      </c>
      <c r="W558" t="b">
        <v>0</v>
      </c>
    </row>
    <row r="559" spans="1:23" x14ac:dyDescent="0.3">
      <c r="A559">
        <v>2982999</v>
      </c>
      <c r="B559">
        <v>58.62</v>
      </c>
      <c r="C559" t="s">
        <v>1439</v>
      </c>
      <c r="D559" t="s">
        <v>1440</v>
      </c>
      <c r="E559" t="s">
        <v>23</v>
      </c>
      <c r="F559" t="s">
        <v>44</v>
      </c>
      <c r="G559">
        <v>2010</v>
      </c>
      <c r="H559" t="s">
        <v>50</v>
      </c>
      <c r="K559" t="s">
        <v>25</v>
      </c>
      <c r="L559" t="s">
        <v>30</v>
      </c>
      <c r="M559" t="b">
        <v>1</v>
      </c>
      <c r="N559" t="s">
        <v>1273</v>
      </c>
      <c r="P559" t="s">
        <v>1274</v>
      </c>
      <c r="Q559" t="b">
        <v>0</v>
      </c>
      <c r="S559" t="str">
        <f>"9780310238560"</f>
        <v>9780310238560</v>
      </c>
      <c r="T559" t="str">
        <f>"9780310873242"</f>
        <v>9780310873242</v>
      </c>
      <c r="U559" t="b">
        <v>0</v>
      </c>
      <c r="W559" t="b">
        <v>0</v>
      </c>
    </row>
    <row r="560" spans="1:23" x14ac:dyDescent="0.3">
      <c r="A560">
        <v>2982998</v>
      </c>
      <c r="B560">
        <v>35.5</v>
      </c>
      <c r="C560" t="s">
        <v>1441</v>
      </c>
      <c r="D560" t="s">
        <v>1442</v>
      </c>
      <c r="E560" t="s">
        <v>23</v>
      </c>
      <c r="F560" t="s">
        <v>1282</v>
      </c>
      <c r="G560">
        <v>2010</v>
      </c>
      <c r="H560" t="s">
        <v>531</v>
      </c>
      <c r="K560" t="s">
        <v>25</v>
      </c>
      <c r="L560" t="s">
        <v>30</v>
      </c>
      <c r="M560" t="b">
        <v>1</v>
      </c>
      <c r="N560" t="s">
        <v>1443</v>
      </c>
      <c r="Q560" t="b">
        <v>0</v>
      </c>
      <c r="T560" t="str">
        <f>"9780310873617"</f>
        <v>9780310873617</v>
      </c>
      <c r="U560" t="b">
        <v>0</v>
      </c>
      <c r="W560" t="b">
        <v>0</v>
      </c>
    </row>
    <row r="561" spans="1:23" x14ac:dyDescent="0.3">
      <c r="A561">
        <v>2982997</v>
      </c>
      <c r="B561">
        <v>28.39</v>
      </c>
      <c r="C561" t="s">
        <v>1444</v>
      </c>
      <c r="D561" t="s">
        <v>1445</v>
      </c>
      <c r="E561" t="s">
        <v>23</v>
      </c>
      <c r="F561" t="s">
        <v>1282</v>
      </c>
      <c r="G561">
        <v>2009</v>
      </c>
      <c r="H561" t="s">
        <v>1446</v>
      </c>
      <c r="K561" t="s">
        <v>25</v>
      </c>
      <c r="L561" t="s">
        <v>30</v>
      </c>
      <c r="M561" t="b">
        <v>1</v>
      </c>
      <c r="N561" t="s">
        <v>1447</v>
      </c>
      <c r="Q561" t="b">
        <v>0</v>
      </c>
      <c r="T561" t="str">
        <f>"9780310850700"</f>
        <v>9780310850700</v>
      </c>
      <c r="U561" t="b">
        <v>0</v>
      </c>
      <c r="W561" t="b">
        <v>0</v>
      </c>
    </row>
    <row r="562" spans="1:23" x14ac:dyDescent="0.3">
      <c r="A562">
        <v>2982996</v>
      </c>
      <c r="B562">
        <v>51.72</v>
      </c>
      <c r="C562" t="s">
        <v>1448</v>
      </c>
      <c r="D562" t="s">
        <v>1449</v>
      </c>
      <c r="E562" t="s">
        <v>23</v>
      </c>
      <c r="F562" t="s">
        <v>44</v>
      </c>
      <c r="G562">
        <v>2010</v>
      </c>
      <c r="H562" t="s">
        <v>50</v>
      </c>
      <c r="K562" t="s">
        <v>25</v>
      </c>
      <c r="L562" t="s">
        <v>30</v>
      </c>
      <c r="M562" t="b">
        <v>1</v>
      </c>
      <c r="N562" t="s">
        <v>1450</v>
      </c>
      <c r="Q562" t="b">
        <v>0</v>
      </c>
      <c r="S562" t="str">
        <f>"9780310238515"</f>
        <v>9780310238515</v>
      </c>
      <c r="T562" t="str">
        <f>"9780310872887"</f>
        <v>9780310872887</v>
      </c>
      <c r="U562" t="b">
        <v>0</v>
      </c>
      <c r="W562" t="b">
        <v>0</v>
      </c>
    </row>
    <row r="563" spans="1:23" x14ac:dyDescent="0.3">
      <c r="A563">
        <v>2982995</v>
      </c>
      <c r="B563">
        <v>65.97</v>
      </c>
      <c r="C563" t="s">
        <v>1451</v>
      </c>
      <c r="D563" t="s">
        <v>1452</v>
      </c>
      <c r="E563" t="s">
        <v>23</v>
      </c>
      <c r="F563" t="s">
        <v>1282</v>
      </c>
      <c r="G563">
        <v>2009</v>
      </c>
      <c r="H563" t="s">
        <v>50</v>
      </c>
      <c r="K563" t="s">
        <v>25</v>
      </c>
      <c r="L563" t="s">
        <v>30</v>
      </c>
      <c r="M563" t="b">
        <v>1</v>
      </c>
      <c r="N563" t="s">
        <v>1453</v>
      </c>
      <c r="Q563" t="b">
        <v>0</v>
      </c>
      <c r="T563" t="str">
        <f>"9780310831105"</f>
        <v>9780310831105</v>
      </c>
      <c r="U563" t="b">
        <v>0</v>
      </c>
      <c r="W563" t="b">
        <v>0</v>
      </c>
    </row>
    <row r="564" spans="1:23" x14ac:dyDescent="0.3">
      <c r="A564">
        <v>2982994</v>
      </c>
      <c r="B564">
        <v>34.47</v>
      </c>
      <c r="C564" t="s">
        <v>1454</v>
      </c>
      <c r="E564" t="s">
        <v>23</v>
      </c>
      <c r="F564" t="s">
        <v>1282</v>
      </c>
      <c r="G564">
        <v>2009</v>
      </c>
      <c r="H564" t="s">
        <v>531</v>
      </c>
      <c r="K564" t="s">
        <v>25</v>
      </c>
      <c r="L564" t="s">
        <v>30</v>
      </c>
      <c r="M564" t="b">
        <v>1</v>
      </c>
      <c r="N564" t="s">
        <v>1455</v>
      </c>
      <c r="Q564" t="b">
        <v>0</v>
      </c>
      <c r="S564" t="str">
        <f>"9780310278856"</f>
        <v>9780310278856</v>
      </c>
      <c r="T564" t="str">
        <f>"9780310569732"</f>
        <v>9780310569732</v>
      </c>
      <c r="U564" t="b">
        <v>0</v>
      </c>
      <c r="W564" t="b">
        <v>0</v>
      </c>
    </row>
    <row r="565" spans="1:23" x14ac:dyDescent="0.3">
      <c r="A565">
        <v>2982993</v>
      </c>
      <c r="B565">
        <v>55.17</v>
      </c>
      <c r="C565" t="s">
        <v>1456</v>
      </c>
      <c r="D565" t="s">
        <v>1457</v>
      </c>
      <c r="E565" t="s">
        <v>23</v>
      </c>
      <c r="F565" t="s">
        <v>44</v>
      </c>
      <c r="G565">
        <v>2009</v>
      </c>
      <c r="H565" t="s">
        <v>50</v>
      </c>
      <c r="K565" t="s">
        <v>25</v>
      </c>
      <c r="L565" t="s">
        <v>30</v>
      </c>
      <c r="M565" t="b">
        <v>1</v>
      </c>
      <c r="N565" t="s">
        <v>1458</v>
      </c>
      <c r="Q565" t="b">
        <v>0</v>
      </c>
      <c r="S565" t="str">
        <f>"9780310284949"</f>
        <v>9780310284949</v>
      </c>
      <c r="T565" t="str">
        <f>"9780310867401"</f>
        <v>9780310867401</v>
      </c>
      <c r="U565" t="b">
        <v>0</v>
      </c>
      <c r="W565" t="b">
        <v>0</v>
      </c>
    </row>
    <row r="566" spans="1:23" x14ac:dyDescent="0.3">
      <c r="A566">
        <v>2982992</v>
      </c>
      <c r="B566">
        <v>39.049999999999997</v>
      </c>
      <c r="C566" t="s">
        <v>1459</v>
      </c>
      <c r="D566" t="s">
        <v>1460</v>
      </c>
      <c r="E566" t="s">
        <v>23</v>
      </c>
      <c r="F566" t="s">
        <v>1282</v>
      </c>
      <c r="G566">
        <v>2009</v>
      </c>
      <c r="H566" t="s">
        <v>531</v>
      </c>
      <c r="K566" t="s">
        <v>25</v>
      </c>
      <c r="L566" t="s">
        <v>30</v>
      </c>
      <c r="M566" t="b">
        <v>1</v>
      </c>
      <c r="N566" t="s">
        <v>1461</v>
      </c>
      <c r="Q566" t="b">
        <v>0</v>
      </c>
      <c r="T566" t="str">
        <f>"9780310569497"</f>
        <v>9780310569497</v>
      </c>
      <c r="U566" t="b">
        <v>0</v>
      </c>
      <c r="W566" t="b">
        <v>0</v>
      </c>
    </row>
    <row r="567" spans="1:23" x14ac:dyDescent="0.3">
      <c r="A567">
        <v>2982991</v>
      </c>
      <c r="B567">
        <v>28.39</v>
      </c>
      <c r="C567" t="s">
        <v>1462</v>
      </c>
      <c r="D567" t="s">
        <v>1463</v>
      </c>
      <c r="E567" t="s">
        <v>23</v>
      </c>
      <c r="F567" t="s">
        <v>1282</v>
      </c>
      <c r="G567">
        <v>2009</v>
      </c>
      <c r="H567" t="s">
        <v>531</v>
      </c>
      <c r="K567" t="s">
        <v>25</v>
      </c>
      <c r="L567" t="s">
        <v>30</v>
      </c>
      <c r="M567" t="b">
        <v>1</v>
      </c>
      <c r="N567" t="s">
        <v>1464</v>
      </c>
      <c r="Q567" t="b">
        <v>0</v>
      </c>
      <c r="T567" t="str">
        <f>"9780310569619"</f>
        <v>9780310569619</v>
      </c>
      <c r="U567" t="b">
        <v>0</v>
      </c>
      <c r="W567" t="b">
        <v>0</v>
      </c>
    </row>
    <row r="568" spans="1:23" x14ac:dyDescent="0.3">
      <c r="A568">
        <v>2982990</v>
      </c>
      <c r="B568">
        <v>65.97</v>
      </c>
      <c r="C568" t="s">
        <v>1465</v>
      </c>
      <c r="D568" t="s">
        <v>1466</v>
      </c>
      <c r="E568" t="s">
        <v>23</v>
      </c>
      <c r="F568" t="s">
        <v>1282</v>
      </c>
      <c r="G568">
        <v>2009</v>
      </c>
      <c r="H568" t="s">
        <v>50</v>
      </c>
      <c r="K568" t="s">
        <v>25</v>
      </c>
      <c r="L568" t="s">
        <v>30</v>
      </c>
      <c r="M568" t="b">
        <v>1</v>
      </c>
      <c r="N568" t="s">
        <v>1453</v>
      </c>
      <c r="Q568" t="b">
        <v>0</v>
      </c>
      <c r="T568" t="str">
        <f>"9780310831044"</f>
        <v>9780310831044</v>
      </c>
      <c r="U568" t="b">
        <v>0</v>
      </c>
      <c r="W568" t="b">
        <v>0</v>
      </c>
    </row>
    <row r="569" spans="1:23" x14ac:dyDescent="0.3">
      <c r="A569">
        <v>2982989</v>
      </c>
      <c r="B569">
        <v>35.5</v>
      </c>
      <c r="C569" t="s">
        <v>1467</v>
      </c>
      <c r="D569" t="s">
        <v>1468</v>
      </c>
      <c r="E569" t="s">
        <v>23</v>
      </c>
      <c r="F569" t="s">
        <v>1282</v>
      </c>
      <c r="G569">
        <v>2010</v>
      </c>
      <c r="H569" t="s">
        <v>531</v>
      </c>
      <c r="K569" t="s">
        <v>25</v>
      </c>
      <c r="L569" t="s">
        <v>30</v>
      </c>
      <c r="M569" t="b">
        <v>1</v>
      </c>
      <c r="N569" t="s">
        <v>1469</v>
      </c>
      <c r="Q569" t="b">
        <v>0</v>
      </c>
      <c r="S569" t="str">
        <f>"9780310249719"</f>
        <v>9780310249719</v>
      </c>
      <c r="T569" t="str">
        <f>"9780310873747"</f>
        <v>9780310873747</v>
      </c>
      <c r="U569" t="b">
        <v>0</v>
      </c>
      <c r="W569" t="b">
        <v>0</v>
      </c>
    </row>
    <row r="570" spans="1:23" x14ac:dyDescent="0.3">
      <c r="A570">
        <v>2982988</v>
      </c>
      <c r="B570">
        <v>34.47</v>
      </c>
      <c r="C570" t="s">
        <v>1470</v>
      </c>
      <c r="E570" t="s">
        <v>23</v>
      </c>
      <c r="F570" t="s">
        <v>1282</v>
      </c>
      <c r="G570">
        <v>2009</v>
      </c>
      <c r="H570" t="s">
        <v>531</v>
      </c>
      <c r="K570" t="s">
        <v>25</v>
      </c>
      <c r="L570" t="s">
        <v>30</v>
      </c>
      <c r="M570" t="b">
        <v>1</v>
      </c>
      <c r="N570" t="s">
        <v>1471</v>
      </c>
      <c r="Q570" t="b">
        <v>0</v>
      </c>
      <c r="S570" t="str">
        <f>"9780310276647"</f>
        <v>9780310276647</v>
      </c>
      <c r="T570" t="str">
        <f>"9780310867371"</f>
        <v>9780310867371</v>
      </c>
      <c r="U570" t="b">
        <v>0</v>
      </c>
      <c r="W570" t="b">
        <v>0</v>
      </c>
    </row>
    <row r="571" spans="1:23" x14ac:dyDescent="0.3">
      <c r="A571">
        <v>2982987</v>
      </c>
      <c r="B571">
        <v>34.47</v>
      </c>
      <c r="C571" t="s">
        <v>1472</v>
      </c>
      <c r="D571" t="s">
        <v>1473</v>
      </c>
      <c r="E571" t="s">
        <v>23</v>
      </c>
      <c r="F571" t="s">
        <v>1282</v>
      </c>
      <c r="G571">
        <v>2010</v>
      </c>
      <c r="H571" t="s">
        <v>1474</v>
      </c>
      <c r="K571" t="s">
        <v>25</v>
      </c>
      <c r="L571" t="s">
        <v>30</v>
      </c>
      <c r="M571" t="b">
        <v>1</v>
      </c>
      <c r="N571" t="s">
        <v>1475</v>
      </c>
      <c r="Q571" t="b">
        <v>0</v>
      </c>
      <c r="S571" t="str">
        <f>"9780310254898"</f>
        <v>9780310254898</v>
      </c>
      <c r="T571" t="str">
        <f>"9780310874164"</f>
        <v>9780310874164</v>
      </c>
      <c r="U571" t="b">
        <v>0</v>
      </c>
      <c r="W571" t="b">
        <v>0</v>
      </c>
    </row>
    <row r="572" spans="1:23" x14ac:dyDescent="0.3">
      <c r="A572">
        <v>2982986</v>
      </c>
      <c r="B572">
        <v>46.16</v>
      </c>
      <c r="C572" t="s">
        <v>1476</v>
      </c>
      <c r="D572" t="s">
        <v>1477</v>
      </c>
      <c r="E572" t="s">
        <v>23</v>
      </c>
      <c r="F572" t="s">
        <v>1282</v>
      </c>
      <c r="G572">
        <v>2010</v>
      </c>
      <c r="H572" t="s">
        <v>531</v>
      </c>
      <c r="K572" t="s">
        <v>25</v>
      </c>
      <c r="L572" t="s">
        <v>30</v>
      </c>
      <c r="M572" t="b">
        <v>1</v>
      </c>
      <c r="N572" t="s">
        <v>1478</v>
      </c>
      <c r="Q572" t="b">
        <v>0</v>
      </c>
      <c r="T572" t="str">
        <f>"9780310873211"</f>
        <v>9780310873211</v>
      </c>
      <c r="U572" t="b">
        <v>0</v>
      </c>
      <c r="W572" t="b">
        <v>0</v>
      </c>
    </row>
    <row r="573" spans="1:23" x14ac:dyDescent="0.3">
      <c r="A573">
        <v>2982985</v>
      </c>
      <c r="B573">
        <v>44.82</v>
      </c>
      <c r="C573" t="s">
        <v>1479</v>
      </c>
      <c r="D573" t="s">
        <v>1480</v>
      </c>
      <c r="E573" t="s">
        <v>23</v>
      </c>
      <c r="F573" t="s">
        <v>1282</v>
      </c>
      <c r="G573">
        <v>2009</v>
      </c>
      <c r="H573" t="s">
        <v>531</v>
      </c>
      <c r="K573" t="s">
        <v>25</v>
      </c>
      <c r="L573" t="s">
        <v>30</v>
      </c>
      <c r="M573" t="b">
        <v>1</v>
      </c>
      <c r="N573" t="s">
        <v>1481</v>
      </c>
      <c r="Q573" t="b">
        <v>0</v>
      </c>
      <c r="S573" t="str">
        <f>"9780310283225"</f>
        <v>9780310283225</v>
      </c>
      <c r="T573" t="str">
        <f>"9780310833147"</f>
        <v>9780310833147</v>
      </c>
      <c r="U573" t="b">
        <v>0</v>
      </c>
      <c r="W573" t="b">
        <v>0</v>
      </c>
    </row>
    <row r="574" spans="1:23" x14ac:dyDescent="0.3">
      <c r="A574">
        <v>2982984</v>
      </c>
      <c r="B574">
        <v>51.72</v>
      </c>
      <c r="C574" t="s">
        <v>1482</v>
      </c>
      <c r="D574" t="s">
        <v>1272</v>
      </c>
      <c r="E574" t="s">
        <v>23</v>
      </c>
      <c r="F574" t="s">
        <v>44</v>
      </c>
      <c r="G574">
        <v>2010</v>
      </c>
      <c r="H574" t="s">
        <v>50</v>
      </c>
      <c r="K574" t="s">
        <v>25</v>
      </c>
      <c r="L574" t="s">
        <v>30</v>
      </c>
      <c r="M574" t="b">
        <v>1</v>
      </c>
      <c r="N574" t="s">
        <v>1450</v>
      </c>
      <c r="P574" t="s">
        <v>1274</v>
      </c>
      <c r="Q574" t="b">
        <v>0</v>
      </c>
      <c r="S574" t="str">
        <f>"9780310238539"</f>
        <v>9780310238539</v>
      </c>
      <c r="T574" t="str">
        <f>"9780310872610"</f>
        <v>9780310872610</v>
      </c>
      <c r="U574" t="b">
        <v>0</v>
      </c>
      <c r="W574" t="b">
        <v>0</v>
      </c>
    </row>
    <row r="575" spans="1:23" x14ac:dyDescent="0.3">
      <c r="A575">
        <v>2982983</v>
      </c>
      <c r="B575">
        <v>34.47</v>
      </c>
      <c r="C575" t="s">
        <v>1483</v>
      </c>
      <c r="D575" t="s">
        <v>1484</v>
      </c>
      <c r="E575" t="s">
        <v>23</v>
      </c>
      <c r="F575" t="s">
        <v>1282</v>
      </c>
      <c r="G575">
        <v>2009</v>
      </c>
      <c r="H575" t="s">
        <v>531</v>
      </c>
      <c r="K575" t="s">
        <v>25</v>
      </c>
      <c r="L575" t="s">
        <v>30</v>
      </c>
      <c r="M575" t="b">
        <v>1</v>
      </c>
      <c r="N575" t="s">
        <v>1485</v>
      </c>
      <c r="Q575" t="b">
        <v>0</v>
      </c>
      <c r="S575" t="str">
        <f>"9780310277538"</f>
        <v>9780310277538</v>
      </c>
      <c r="T575" t="str">
        <f>"9780310851363"</f>
        <v>9780310851363</v>
      </c>
      <c r="U575" t="b">
        <v>0</v>
      </c>
      <c r="W575" t="b">
        <v>0</v>
      </c>
    </row>
    <row r="576" spans="1:23" x14ac:dyDescent="0.3">
      <c r="A576">
        <v>2982982</v>
      </c>
      <c r="B576">
        <v>17.73</v>
      </c>
      <c r="C576" t="s">
        <v>1486</v>
      </c>
      <c r="E576" t="s">
        <v>23</v>
      </c>
      <c r="F576" t="s">
        <v>1282</v>
      </c>
      <c r="G576">
        <v>2009</v>
      </c>
      <c r="H576" t="s">
        <v>714</v>
      </c>
      <c r="K576" t="s">
        <v>25</v>
      </c>
      <c r="L576" t="s">
        <v>30</v>
      </c>
      <c r="M576" t="b">
        <v>1</v>
      </c>
      <c r="N576" t="s">
        <v>83</v>
      </c>
      <c r="P576" t="s">
        <v>1290</v>
      </c>
      <c r="Q576" t="b">
        <v>1</v>
      </c>
      <c r="T576" t="str">
        <f>"9780310545958"</f>
        <v>9780310545958</v>
      </c>
      <c r="U576" t="b">
        <v>0</v>
      </c>
      <c r="W576" t="b">
        <v>0</v>
      </c>
    </row>
    <row r="577" spans="1:23" x14ac:dyDescent="0.3">
      <c r="A577">
        <v>2982981</v>
      </c>
      <c r="B577">
        <v>51.72</v>
      </c>
      <c r="C577" t="s">
        <v>1487</v>
      </c>
      <c r="D577" t="s">
        <v>1488</v>
      </c>
      <c r="E577" t="s">
        <v>23</v>
      </c>
      <c r="F577" t="s">
        <v>1282</v>
      </c>
      <c r="G577">
        <v>2013</v>
      </c>
      <c r="H577" t="s">
        <v>1489</v>
      </c>
      <c r="K577" t="s">
        <v>25</v>
      </c>
      <c r="L577" t="s">
        <v>30</v>
      </c>
      <c r="M577" t="b">
        <v>1</v>
      </c>
      <c r="N577" t="s">
        <v>1490</v>
      </c>
      <c r="Q577" t="b">
        <v>0</v>
      </c>
      <c r="S577" t="str">
        <f>"9780310700005"</f>
        <v>9780310700005</v>
      </c>
      <c r="T577" t="str">
        <f>"9780310700036"</f>
        <v>9780310700036</v>
      </c>
      <c r="U577" t="b">
        <v>0</v>
      </c>
      <c r="W577" t="b">
        <v>0</v>
      </c>
    </row>
    <row r="578" spans="1:23" x14ac:dyDescent="0.3">
      <c r="A578">
        <v>2982980</v>
      </c>
      <c r="B578">
        <v>28.39</v>
      </c>
      <c r="C578" t="s">
        <v>1491</v>
      </c>
      <c r="E578" t="s">
        <v>23</v>
      </c>
      <c r="F578" t="s">
        <v>1282</v>
      </c>
      <c r="G578">
        <v>2010</v>
      </c>
      <c r="H578" t="s">
        <v>531</v>
      </c>
      <c r="K578" t="s">
        <v>25</v>
      </c>
      <c r="M578" t="b">
        <v>1</v>
      </c>
      <c r="N578" t="s">
        <v>1285</v>
      </c>
      <c r="Q578" t="b">
        <v>0</v>
      </c>
      <c r="S578" t="str">
        <f>"9780310258155"</f>
        <v>9780310258155</v>
      </c>
      <c r="T578" t="str">
        <f>"9780310834885"</f>
        <v>9780310834885</v>
      </c>
      <c r="U578" t="b">
        <v>0</v>
      </c>
      <c r="W578" t="b">
        <v>0</v>
      </c>
    </row>
    <row r="579" spans="1:23" x14ac:dyDescent="0.3">
      <c r="A579">
        <v>2982979</v>
      </c>
      <c r="B579">
        <v>51.72</v>
      </c>
      <c r="C579" t="s">
        <v>1492</v>
      </c>
      <c r="D579" t="s">
        <v>1449</v>
      </c>
      <c r="E579" t="s">
        <v>23</v>
      </c>
      <c r="F579" t="s">
        <v>44</v>
      </c>
      <c r="G579">
        <v>2011</v>
      </c>
      <c r="H579" t="s">
        <v>50</v>
      </c>
      <c r="K579" t="s">
        <v>25</v>
      </c>
      <c r="L579" t="s">
        <v>26</v>
      </c>
      <c r="M579" t="b">
        <v>1</v>
      </c>
      <c r="N579" t="s">
        <v>1273</v>
      </c>
      <c r="P579" t="s">
        <v>1274</v>
      </c>
      <c r="Q579" t="b">
        <v>0</v>
      </c>
      <c r="S579" t="str">
        <f>"9780310238553"</f>
        <v>9780310238553</v>
      </c>
      <c r="T579" t="str">
        <f>"9780310867364"</f>
        <v>9780310867364</v>
      </c>
      <c r="U579" t="b">
        <v>0</v>
      </c>
      <c r="W579" t="b">
        <v>0</v>
      </c>
    </row>
    <row r="580" spans="1:23" x14ac:dyDescent="0.3">
      <c r="A580">
        <v>2982978</v>
      </c>
      <c r="B580">
        <v>3.52</v>
      </c>
      <c r="C580" t="s">
        <v>1493</v>
      </c>
      <c r="E580" t="s">
        <v>23</v>
      </c>
      <c r="F580" t="s">
        <v>28</v>
      </c>
      <c r="G580">
        <v>2013</v>
      </c>
      <c r="H580" t="s">
        <v>717</v>
      </c>
      <c r="I580" t="s">
        <v>1494</v>
      </c>
      <c r="J580" t="s">
        <v>1495</v>
      </c>
      <c r="K580" t="s">
        <v>25</v>
      </c>
      <c r="L580" t="s">
        <v>30</v>
      </c>
      <c r="M580" t="b">
        <v>1</v>
      </c>
      <c r="N580" t="s">
        <v>1496</v>
      </c>
      <c r="O580" t="str">
        <f>"[Fic]"</f>
        <v>[Fic]</v>
      </c>
      <c r="P580" t="s">
        <v>1497</v>
      </c>
      <c r="Q580" t="b">
        <v>1</v>
      </c>
      <c r="T580" t="str">
        <f>"9780310742258"</f>
        <v>9780310742258</v>
      </c>
      <c r="U580" t="b">
        <v>0</v>
      </c>
      <c r="W580" t="b">
        <v>0</v>
      </c>
    </row>
    <row r="581" spans="1:23" x14ac:dyDescent="0.3">
      <c r="A581">
        <v>2982977</v>
      </c>
      <c r="B581">
        <v>17.22</v>
      </c>
      <c r="C581" t="s">
        <v>1498</v>
      </c>
      <c r="E581" t="s">
        <v>23</v>
      </c>
      <c r="F581" t="s">
        <v>28</v>
      </c>
      <c r="G581">
        <v>2011</v>
      </c>
      <c r="H581" t="s">
        <v>34</v>
      </c>
      <c r="K581" t="s">
        <v>25</v>
      </c>
      <c r="L581" t="s">
        <v>30</v>
      </c>
      <c r="M581" t="b">
        <v>1</v>
      </c>
      <c r="N581" t="s">
        <v>675</v>
      </c>
      <c r="P581" t="s">
        <v>1499</v>
      </c>
      <c r="Q581" t="b">
        <v>1</v>
      </c>
      <c r="S581" t="str">
        <f>"9780310706496"</f>
        <v>9780310706496</v>
      </c>
      <c r="T581" t="str">
        <f>"9780310424314"</f>
        <v>9780310424314</v>
      </c>
      <c r="U581" t="b">
        <v>0</v>
      </c>
      <c r="W581" t="b">
        <v>0</v>
      </c>
    </row>
    <row r="582" spans="1:23" x14ac:dyDescent="0.3">
      <c r="A582">
        <v>2982976</v>
      </c>
      <c r="B582">
        <v>55.17</v>
      </c>
      <c r="C582" t="s">
        <v>1500</v>
      </c>
      <c r="D582" t="s">
        <v>1501</v>
      </c>
      <c r="E582" t="s">
        <v>23</v>
      </c>
      <c r="F582" t="s">
        <v>28</v>
      </c>
      <c r="G582">
        <v>2011</v>
      </c>
      <c r="H582" t="s">
        <v>75</v>
      </c>
      <c r="K582" t="s">
        <v>25</v>
      </c>
      <c r="L582" t="s">
        <v>30</v>
      </c>
      <c r="M582" t="b">
        <v>1</v>
      </c>
      <c r="N582" t="s">
        <v>1502</v>
      </c>
      <c r="Q582" t="b">
        <v>0</v>
      </c>
      <c r="S582" t="str">
        <f>"9780310725367"</f>
        <v>9780310725367</v>
      </c>
      <c r="T582" t="str">
        <f>"9780310725374"</f>
        <v>9780310725374</v>
      </c>
      <c r="U582" t="b">
        <v>0</v>
      </c>
      <c r="W582" t="b">
        <v>0</v>
      </c>
    </row>
    <row r="583" spans="1:23" x14ac:dyDescent="0.3">
      <c r="A583">
        <v>2982975</v>
      </c>
      <c r="B583">
        <v>17.22</v>
      </c>
      <c r="C583" t="s">
        <v>1503</v>
      </c>
      <c r="D583" t="s">
        <v>143</v>
      </c>
      <c r="E583" t="s">
        <v>23</v>
      </c>
      <c r="F583" t="s">
        <v>28</v>
      </c>
      <c r="G583">
        <v>2009</v>
      </c>
      <c r="H583" t="s">
        <v>34</v>
      </c>
      <c r="K583" t="s">
        <v>25</v>
      </c>
      <c r="L583" t="s">
        <v>30</v>
      </c>
      <c r="M583" t="b">
        <v>1</v>
      </c>
      <c r="N583" t="s">
        <v>1504</v>
      </c>
      <c r="P583" t="s">
        <v>1505</v>
      </c>
      <c r="Q583" t="b">
        <v>1</v>
      </c>
      <c r="S583" t="str">
        <f>"9780310715863"</f>
        <v>9780310715863</v>
      </c>
      <c r="T583" t="str">
        <f>"9780310868743"</f>
        <v>9780310868743</v>
      </c>
      <c r="U583" t="b">
        <v>0</v>
      </c>
      <c r="W583" t="b">
        <v>0</v>
      </c>
    </row>
    <row r="584" spans="1:23" x14ac:dyDescent="0.3">
      <c r="A584">
        <v>2982974</v>
      </c>
      <c r="B584">
        <v>27.57</v>
      </c>
      <c r="C584" t="s">
        <v>1506</v>
      </c>
      <c r="E584" t="s">
        <v>23</v>
      </c>
      <c r="F584" t="s">
        <v>28</v>
      </c>
      <c r="G584">
        <v>2010</v>
      </c>
      <c r="H584" t="s">
        <v>1507</v>
      </c>
      <c r="K584" t="s">
        <v>25</v>
      </c>
      <c r="L584" t="s">
        <v>30</v>
      </c>
      <c r="M584" t="b">
        <v>1</v>
      </c>
      <c r="N584" t="s">
        <v>1508</v>
      </c>
      <c r="Q584" t="b">
        <v>1</v>
      </c>
      <c r="S584" t="str">
        <f>"9780310721956"</f>
        <v>9780310721956</v>
      </c>
      <c r="T584" t="str">
        <f>"9780310410195"</f>
        <v>9780310410195</v>
      </c>
      <c r="U584" t="b">
        <v>0</v>
      </c>
      <c r="W584" t="b">
        <v>0</v>
      </c>
    </row>
    <row r="585" spans="1:23" x14ac:dyDescent="0.3">
      <c r="A585">
        <v>2982973</v>
      </c>
      <c r="B585">
        <v>31.02</v>
      </c>
      <c r="C585" t="s">
        <v>1509</v>
      </c>
      <c r="E585" t="s">
        <v>23</v>
      </c>
      <c r="F585" t="s">
        <v>28</v>
      </c>
      <c r="G585">
        <v>2018</v>
      </c>
      <c r="H585" t="s">
        <v>716</v>
      </c>
      <c r="K585" t="s">
        <v>25</v>
      </c>
      <c r="L585" t="s">
        <v>26</v>
      </c>
      <c r="M585" t="b">
        <v>1</v>
      </c>
      <c r="N585" t="s">
        <v>1510</v>
      </c>
      <c r="P585" t="s">
        <v>1511</v>
      </c>
      <c r="Q585" t="b">
        <v>1</v>
      </c>
      <c r="S585" t="str">
        <f>"9780310762546"</f>
        <v>9780310762546</v>
      </c>
      <c r="T585" t="str">
        <f>"9780310762584"</f>
        <v>9780310762584</v>
      </c>
      <c r="U585" t="b">
        <v>0</v>
      </c>
      <c r="W585" t="b">
        <v>0</v>
      </c>
    </row>
    <row r="586" spans="1:23" x14ac:dyDescent="0.3">
      <c r="A586">
        <v>2982972</v>
      </c>
      <c r="B586">
        <v>17.22</v>
      </c>
      <c r="C586" t="s">
        <v>1512</v>
      </c>
      <c r="D586" t="s">
        <v>93</v>
      </c>
      <c r="E586" t="s">
        <v>23</v>
      </c>
      <c r="F586" t="s">
        <v>28</v>
      </c>
      <c r="G586">
        <v>2011</v>
      </c>
      <c r="H586" t="s">
        <v>144</v>
      </c>
      <c r="K586" t="s">
        <v>25</v>
      </c>
      <c r="L586" t="s">
        <v>30</v>
      </c>
      <c r="M586" t="b">
        <v>1</v>
      </c>
      <c r="N586" t="s">
        <v>480</v>
      </c>
      <c r="P586" t="s">
        <v>1395</v>
      </c>
      <c r="Q586" t="b">
        <v>0</v>
      </c>
      <c r="S586" t="str">
        <f>"9780310721574"</f>
        <v>9780310721574</v>
      </c>
      <c r="T586" t="str">
        <f>"9780310409144"</f>
        <v>9780310409144</v>
      </c>
      <c r="U586" t="b">
        <v>0</v>
      </c>
      <c r="W586" t="b">
        <v>0</v>
      </c>
    </row>
    <row r="587" spans="1:23" x14ac:dyDescent="0.3">
      <c r="A587">
        <v>2982971</v>
      </c>
      <c r="B587">
        <v>31.02</v>
      </c>
      <c r="C587" t="s">
        <v>1513</v>
      </c>
      <c r="E587" t="s">
        <v>23</v>
      </c>
      <c r="F587" t="s">
        <v>28</v>
      </c>
      <c r="G587">
        <v>2016</v>
      </c>
      <c r="H587" t="s">
        <v>1337</v>
      </c>
      <c r="K587" t="s">
        <v>25</v>
      </c>
      <c r="L587" t="s">
        <v>26</v>
      </c>
      <c r="M587" t="b">
        <v>1</v>
      </c>
      <c r="N587" t="s">
        <v>1514</v>
      </c>
      <c r="P587" t="s">
        <v>1515</v>
      </c>
      <c r="Q587" t="b">
        <v>1</v>
      </c>
      <c r="S587" t="str">
        <f>"9780310752653"</f>
        <v>9780310752653</v>
      </c>
      <c r="T587" t="str">
        <f>"9780310752691"</f>
        <v>9780310752691</v>
      </c>
      <c r="U587" t="b">
        <v>0</v>
      </c>
      <c r="W587" t="b">
        <v>0</v>
      </c>
    </row>
    <row r="588" spans="1:23" x14ac:dyDescent="0.3">
      <c r="A588">
        <v>2982970</v>
      </c>
      <c r="B588">
        <v>17.22</v>
      </c>
      <c r="C588" t="s">
        <v>1516</v>
      </c>
      <c r="D588" t="s">
        <v>93</v>
      </c>
      <c r="E588" t="s">
        <v>23</v>
      </c>
      <c r="F588" t="s">
        <v>28</v>
      </c>
      <c r="G588">
        <v>2010</v>
      </c>
      <c r="H588" t="s">
        <v>718</v>
      </c>
      <c r="K588" t="s">
        <v>25</v>
      </c>
      <c r="L588" t="s">
        <v>30</v>
      </c>
      <c r="M588" t="b">
        <v>1</v>
      </c>
      <c r="N588" t="s">
        <v>480</v>
      </c>
      <c r="P588" t="s">
        <v>1517</v>
      </c>
      <c r="Q588" t="b">
        <v>1</v>
      </c>
      <c r="S588" t="str">
        <f>"9780310717102"</f>
        <v>9780310717102</v>
      </c>
      <c r="T588" t="str">
        <f>"9780310424659"</f>
        <v>9780310424659</v>
      </c>
      <c r="U588" t="b">
        <v>0</v>
      </c>
      <c r="W588" t="b">
        <v>0</v>
      </c>
    </row>
    <row r="589" spans="1:23" x14ac:dyDescent="0.3">
      <c r="A589">
        <v>2982969</v>
      </c>
      <c r="B589">
        <v>17.22</v>
      </c>
      <c r="C589" t="s">
        <v>1518</v>
      </c>
      <c r="D589" t="s">
        <v>93</v>
      </c>
      <c r="E589" t="s">
        <v>23</v>
      </c>
      <c r="F589" t="s">
        <v>28</v>
      </c>
      <c r="G589">
        <v>2009</v>
      </c>
      <c r="H589" t="s">
        <v>34</v>
      </c>
      <c r="K589" t="s">
        <v>25</v>
      </c>
      <c r="L589" t="s">
        <v>30</v>
      </c>
      <c r="M589" t="b">
        <v>1</v>
      </c>
      <c r="N589" t="s">
        <v>480</v>
      </c>
      <c r="P589" t="s">
        <v>1519</v>
      </c>
      <c r="Q589" t="b">
        <v>1</v>
      </c>
      <c r="S589" t="str">
        <f>"9780310717041"</f>
        <v>9780310717041</v>
      </c>
      <c r="T589" t="str">
        <f>"9780310868941"</f>
        <v>9780310868941</v>
      </c>
      <c r="U589" t="b">
        <v>0</v>
      </c>
      <c r="W589" t="b">
        <v>0</v>
      </c>
    </row>
    <row r="590" spans="1:23" x14ac:dyDescent="0.3">
      <c r="A590">
        <v>2982968</v>
      </c>
      <c r="B590">
        <v>49.71</v>
      </c>
      <c r="C590" t="s">
        <v>1520</v>
      </c>
      <c r="E590" t="s">
        <v>23</v>
      </c>
      <c r="F590" t="s">
        <v>28</v>
      </c>
      <c r="G590">
        <v>2015</v>
      </c>
      <c r="H590" t="s">
        <v>1337</v>
      </c>
      <c r="K590" t="s">
        <v>25</v>
      </c>
      <c r="L590" t="s">
        <v>30</v>
      </c>
      <c r="M590" t="b">
        <v>1</v>
      </c>
      <c r="N590" t="s">
        <v>1338</v>
      </c>
      <c r="P590" t="s">
        <v>1339</v>
      </c>
      <c r="Q590" t="b">
        <v>1</v>
      </c>
      <c r="T590" t="str">
        <f>"9780310753292"</f>
        <v>9780310753292</v>
      </c>
      <c r="U590" t="b">
        <v>0</v>
      </c>
      <c r="W590" t="b">
        <v>0</v>
      </c>
    </row>
    <row r="591" spans="1:23" x14ac:dyDescent="0.3">
      <c r="A591">
        <v>2982967</v>
      </c>
      <c r="B591">
        <v>17.73</v>
      </c>
      <c r="C591" t="s">
        <v>1521</v>
      </c>
      <c r="E591" t="s">
        <v>23</v>
      </c>
      <c r="F591" t="s">
        <v>28</v>
      </c>
      <c r="G591">
        <v>2009</v>
      </c>
      <c r="H591" t="s">
        <v>718</v>
      </c>
      <c r="K591" t="s">
        <v>25</v>
      </c>
      <c r="L591" t="s">
        <v>30</v>
      </c>
      <c r="M591" t="b">
        <v>1</v>
      </c>
      <c r="N591" t="s">
        <v>1378</v>
      </c>
      <c r="P591" t="s">
        <v>1379</v>
      </c>
      <c r="Q591" t="b">
        <v>1</v>
      </c>
      <c r="T591" t="str">
        <f>"9780310865803"</f>
        <v>9780310865803</v>
      </c>
      <c r="U591" t="b">
        <v>0</v>
      </c>
      <c r="W591" t="b">
        <v>0</v>
      </c>
    </row>
    <row r="592" spans="1:23" x14ac:dyDescent="0.3">
      <c r="A592">
        <v>2982966</v>
      </c>
      <c r="B592">
        <v>39.049999999999997</v>
      </c>
      <c r="C592" t="s">
        <v>1522</v>
      </c>
      <c r="D592" t="s">
        <v>93</v>
      </c>
      <c r="E592" t="s">
        <v>23</v>
      </c>
      <c r="F592" t="s">
        <v>28</v>
      </c>
      <c r="G592">
        <v>2021</v>
      </c>
      <c r="H592" t="s">
        <v>313</v>
      </c>
      <c r="K592" t="s">
        <v>25</v>
      </c>
      <c r="L592" t="s">
        <v>26</v>
      </c>
      <c r="M592" t="b">
        <v>1</v>
      </c>
      <c r="N592" t="s">
        <v>44</v>
      </c>
      <c r="P592" t="s">
        <v>314</v>
      </c>
      <c r="Q592" t="b">
        <v>1</v>
      </c>
      <c r="T592" t="str">
        <f>"9780310768937"</f>
        <v>9780310768937</v>
      </c>
      <c r="U592" t="b">
        <v>0</v>
      </c>
      <c r="W592" t="b">
        <v>0</v>
      </c>
    </row>
    <row r="593" spans="1:23" x14ac:dyDescent="0.3">
      <c r="A593">
        <v>2982965</v>
      </c>
      <c r="B593">
        <v>17.22</v>
      </c>
      <c r="C593" t="s">
        <v>1523</v>
      </c>
      <c r="D593" t="s">
        <v>138</v>
      </c>
      <c r="E593" t="s">
        <v>23</v>
      </c>
      <c r="F593" t="s">
        <v>28</v>
      </c>
      <c r="G593">
        <v>2011</v>
      </c>
      <c r="H593" t="s">
        <v>34</v>
      </c>
      <c r="K593" t="s">
        <v>25</v>
      </c>
      <c r="L593" t="s">
        <v>30</v>
      </c>
      <c r="M593" t="b">
        <v>1</v>
      </c>
      <c r="N593" t="s">
        <v>272</v>
      </c>
      <c r="P593" t="s">
        <v>1524</v>
      </c>
      <c r="Q593" t="b">
        <v>1</v>
      </c>
      <c r="S593" t="str">
        <f>"9780310717829"</f>
        <v>9780310717829</v>
      </c>
      <c r="T593" t="str">
        <f>"9780310424451"</f>
        <v>9780310424451</v>
      </c>
      <c r="U593" t="b">
        <v>0</v>
      </c>
      <c r="W593" t="b">
        <v>0</v>
      </c>
    </row>
    <row r="594" spans="1:23" x14ac:dyDescent="0.3">
      <c r="A594">
        <v>2982964</v>
      </c>
      <c r="B594">
        <v>58.62</v>
      </c>
      <c r="C594" t="s">
        <v>1525</v>
      </c>
      <c r="E594" t="s">
        <v>23</v>
      </c>
      <c r="F594" t="s">
        <v>28</v>
      </c>
      <c r="G594">
        <v>2012</v>
      </c>
      <c r="H594" t="s">
        <v>1526</v>
      </c>
      <c r="K594" t="s">
        <v>25</v>
      </c>
      <c r="L594" t="s">
        <v>30</v>
      </c>
      <c r="M594" t="b">
        <v>1</v>
      </c>
      <c r="N594" t="s">
        <v>1527</v>
      </c>
      <c r="Q594" t="b">
        <v>0</v>
      </c>
      <c r="S594" t="str">
        <f>"9780310740674"</f>
        <v>9780310740674</v>
      </c>
      <c r="T594" t="str">
        <f>"9780310740681"</f>
        <v>9780310740681</v>
      </c>
      <c r="U594" t="b">
        <v>0</v>
      </c>
      <c r="W594" t="b">
        <v>0</v>
      </c>
    </row>
    <row r="595" spans="1:23" x14ac:dyDescent="0.3">
      <c r="A595">
        <v>2982963</v>
      </c>
      <c r="B595">
        <v>31.02</v>
      </c>
      <c r="C595" t="s">
        <v>1528</v>
      </c>
      <c r="E595" t="s">
        <v>23</v>
      </c>
      <c r="F595" t="s">
        <v>28</v>
      </c>
      <c r="G595">
        <v>2020</v>
      </c>
      <c r="H595" t="s">
        <v>1529</v>
      </c>
      <c r="K595" t="s">
        <v>25</v>
      </c>
      <c r="L595" t="s">
        <v>26</v>
      </c>
      <c r="M595" t="b">
        <v>1</v>
      </c>
      <c r="N595" t="s">
        <v>1530</v>
      </c>
      <c r="P595" t="s">
        <v>1531</v>
      </c>
      <c r="Q595" t="b">
        <v>1</v>
      </c>
      <c r="S595" t="str">
        <f>"9780310769606"</f>
        <v>9780310769606</v>
      </c>
      <c r="T595" t="str">
        <f>"9780310769651"</f>
        <v>9780310769651</v>
      </c>
      <c r="U595" t="b">
        <v>0</v>
      </c>
      <c r="W595" t="b">
        <v>0</v>
      </c>
    </row>
    <row r="596" spans="1:23" x14ac:dyDescent="0.3">
      <c r="A596">
        <v>2982962</v>
      </c>
      <c r="B596">
        <v>51.72</v>
      </c>
      <c r="C596" t="s">
        <v>1532</v>
      </c>
      <c r="D596" t="s">
        <v>1533</v>
      </c>
      <c r="E596" t="s">
        <v>23</v>
      </c>
      <c r="F596" t="s">
        <v>28</v>
      </c>
      <c r="G596">
        <v>2016</v>
      </c>
      <c r="H596" t="s">
        <v>1534</v>
      </c>
      <c r="K596" t="s">
        <v>25</v>
      </c>
      <c r="L596" t="s">
        <v>26</v>
      </c>
      <c r="M596" t="b">
        <v>1</v>
      </c>
      <c r="N596" t="s">
        <v>1535</v>
      </c>
      <c r="P596" t="s">
        <v>84</v>
      </c>
      <c r="Q596" t="b">
        <v>0</v>
      </c>
      <c r="S596" t="str">
        <f>"9780310746003"</f>
        <v>9780310746003</v>
      </c>
      <c r="T596" t="str">
        <f>"9780310755630"</f>
        <v>9780310755630</v>
      </c>
      <c r="U596" t="b">
        <v>0</v>
      </c>
      <c r="W596" t="b">
        <v>0</v>
      </c>
    </row>
    <row r="597" spans="1:23" x14ac:dyDescent="0.3">
      <c r="A597">
        <v>2982961</v>
      </c>
      <c r="B597">
        <v>31.02</v>
      </c>
      <c r="C597" t="s">
        <v>1536</v>
      </c>
      <c r="E597" t="s">
        <v>23</v>
      </c>
      <c r="F597" t="s">
        <v>28</v>
      </c>
      <c r="G597">
        <v>2016</v>
      </c>
      <c r="H597" t="s">
        <v>1337</v>
      </c>
      <c r="K597" t="s">
        <v>25</v>
      </c>
      <c r="L597" t="s">
        <v>26</v>
      </c>
      <c r="M597" t="b">
        <v>1</v>
      </c>
      <c r="N597" t="s">
        <v>1514</v>
      </c>
      <c r="P597" t="s">
        <v>1515</v>
      </c>
      <c r="Q597" t="b">
        <v>1</v>
      </c>
      <c r="S597" t="str">
        <f>"9780310752530"</f>
        <v>9780310752530</v>
      </c>
      <c r="T597" t="str">
        <f>"9780310752721"</f>
        <v>9780310752721</v>
      </c>
      <c r="U597" t="b">
        <v>0</v>
      </c>
      <c r="W597" t="b">
        <v>0</v>
      </c>
    </row>
    <row r="598" spans="1:23" x14ac:dyDescent="0.3">
      <c r="A598">
        <v>2982960</v>
      </c>
      <c r="B598">
        <v>35.5</v>
      </c>
      <c r="C598" t="s">
        <v>1537</v>
      </c>
      <c r="D598" t="s">
        <v>1538</v>
      </c>
      <c r="E598" t="s">
        <v>23</v>
      </c>
      <c r="F598" t="s">
        <v>28</v>
      </c>
      <c r="G598">
        <v>2012</v>
      </c>
      <c r="H598" t="s">
        <v>834</v>
      </c>
      <c r="K598" t="s">
        <v>25</v>
      </c>
      <c r="L598" t="s">
        <v>30</v>
      </c>
      <c r="M598" t="b">
        <v>1</v>
      </c>
      <c r="N598" t="s">
        <v>419</v>
      </c>
      <c r="Q598" t="b">
        <v>0</v>
      </c>
      <c r="T598" t="str">
        <f>"9780310725145"</f>
        <v>9780310725145</v>
      </c>
      <c r="U598" t="b">
        <v>0</v>
      </c>
      <c r="W598" t="b">
        <v>0</v>
      </c>
    </row>
    <row r="599" spans="1:23" x14ac:dyDescent="0.3">
      <c r="A599">
        <v>2982959</v>
      </c>
      <c r="B599">
        <v>31.02</v>
      </c>
      <c r="C599" t="s">
        <v>1539</v>
      </c>
      <c r="D599" t="s">
        <v>1540</v>
      </c>
      <c r="E599" t="s">
        <v>23</v>
      </c>
      <c r="F599" t="s">
        <v>28</v>
      </c>
      <c r="G599">
        <v>2014</v>
      </c>
      <c r="H599" t="s">
        <v>717</v>
      </c>
      <c r="K599" t="s">
        <v>25</v>
      </c>
      <c r="L599" t="s">
        <v>30</v>
      </c>
      <c r="M599" t="b">
        <v>1</v>
      </c>
      <c r="N599" t="s">
        <v>1541</v>
      </c>
      <c r="P599" t="s">
        <v>1542</v>
      </c>
      <c r="Q599" t="b">
        <v>1</v>
      </c>
      <c r="S599" t="str">
        <f>"9780310735618"</f>
        <v>9780310735618</v>
      </c>
      <c r="T599" t="str">
        <f>"9780310735588"</f>
        <v>9780310735588</v>
      </c>
      <c r="U599" t="b">
        <v>0</v>
      </c>
      <c r="W599" t="b">
        <v>0</v>
      </c>
    </row>
    <row r="600" spans="1:23" x14ac:dyDescent="0.3">
      <c r="A600">
        <v>2982958</v>
      </c>
      <c r="B600">
        <v>31.02</v>
      </c>
      <c r="C600" t="s">
        <v>1543</v>
      </c>
      <c r="E600" t="s">
        <v>23</v>
      </c>
      <c r="F600" t="s">
        <v>28</v>
      </c>
      <c r="G600">
        <v>2018</v>
      </c>
      <c r="H600" t="s">
        <v>716</v>
      </c>
      <c r="K600" t="s">
        <v>25</v>
      </c>
      <c r="L600" t="s">
        <v>26</v>
      </c>
      <c r="M600" t="b">
        <v>1</v>
      </c>
      <c r="N600" t="s">
        <v>1510</v>
      </c>
      <c r="P600" t="s">
        <v>1511</v>
      </c>
      <c r="Q600" t="b">
        <v>1</v>
      </c>
      <c r="S600" t="str">
        <f>"9780310762522"</f>
        <v>9780310762522</v>
      </c>
      <c r="T600" t="str">
        <f>"9780310762577"</f>
        <v>9780310762577</v>
      </c>
      <c r="U600" t="b">
        <v>0</v>
      </c>
      <c r="W600" t="b">
        <v>0</v>
      </c>
    </row>
    <row r="601" spans="1:23" x14ac:dyDescent="0.3">
      <c r="A601">
        <v>2982957</v>
      </c>
      <c r="B601">
        <v>14.18</v>
      </c>
      <c r="C601" t="s">
        <v>1544</v>
      </c>
      <c r="E601" t="s">
        <v>23</v>
      </c>
      <c r="F601" t="s">
        <v>28</v>
      </c>
      <c r="G601">
        <v>2009</v>
      </c>
      <c r="H601" t="s">
        <v>1545</v>
      </c>
      <c r="K601" t="s">
        <v>25</v>
      </c>
      <c r="L601" t="s">
        <v>30</v>
      </c>
      <c r="M601" t="b">
        <v>1</v>
      </c>
      <c r="N601" t="s">
        <v>1335</v>
      </c>
      <c r="P601" t="s">
        <v>1546</v>
      </c>
      <c r="Q601" t="b">
        <v>0</v>
      </c>
      <c r="T601" t="str">
        <f>"9780310865902"</f>
        <v>9780310865902</v>
      </c>
      <c r="U601" t="b">
        <v>0</v>
      </c>
      <c r="W601" t="b">
        <v>0</v>
      </c>
    </row>
    <row r="602" spans="1:23" x14ac:dyDescent="0.3">
      <c r="A602">
        <v>2982956</v>
      </c>
      <c r="B602">
        <v>3.52</v>
      </c>
      <c r="C602" t="s">
        <v>1547</v>
      </c>
      <c r="D602" t="s">
        <v>195</v>
      </c>
      <c r="E602" t="s">
        <v>23</v>
      </c>
      <c r="F602" t="s">
        <v>28</v>
      </c>
      <c r="G602">
        <v>2020</v>
      </c>
      <c r="H602" t="s">
        <v>196</v>
      </c>
      <c r="I602" t="s">
        <v>1548</v>
      </c>
      <c r="J602" t="s">
        <v>1549</v>
      </c>
      <c r="K602" t="s">
        <v>25</v>
      </c>
      <c r="L602" t="s">
        <v>26</v>
      </c>
      <c r="M602" t="b">
        <v>1</v>
      </c>
      <c r="N602" t="s">
        <v>197</v>
      </c>
      <c r="O602" t="str">
        <f>"[E]"</f>
        <v>[E]</v>
      </c>
      <c r="Q602" t="b">
        <v>1</v>
      </c>
      <c r="T602" t="str">
        <f>"9780310744139"</f>
        <v>9780310744139</v>
      </c>
      <c r="U602" t="b">
        <v>0</v>
      </c>
      <c r="W602" t="b">
        <v>0</v>
      </c>
    </row>
    <row r="603" spans="1:23" x14ac:dyDescent="0.3">
      <c r="A603">
        <v>2982955</v>
      </c>
      <c r="B603">
        <v>120.72</v>
      </c>
      <c r="C603" t="s">
        <v>1550</v>
      </c>
      <c r="E603" t="s">
        <v>23</v>
      </c>
      <c r="F603" t="s">
        <v>28</v>
      </c>
      <c r="G603">
        <v>2014</v>
      </c>
      <c r="H603" t="s">
        <v>1551</v>
      </c>
      <c r="K603" t="s">
        <v>25</v>
      </c>
      <c r="L603" t="s">
        <v>30</v>
      </c>
      <c r="M603" t="b">
        <v>1</v>
      </c>
      <c r="N603" t="s">
        <v>864</v>
      </c>
      <c r="P603" t="s">
        <v>234</v>
      </c>
      <c r="Q603" t="b">
        <v>0</v>
      </c>
      <c r="S603" t="str">
        <f>"9780310746263"</f>
        <v>9780310746263</v>
      </c>
      <c r="T603" t="str">
        <f>"9780310749295"</f>
        <v>9780310749295</v>
      </c>
      <c r="U603" t="b">
        <v>0</v>
      </c>
      <c r="W603" t="b">
        <v>0</v>
      </c>
    </row>
    <row r="604" spans="1:23" x14ac:dyDescent="0.3">
      <c r="A604">
        <v>2982954</v>
      </c>
      <c r="B604">
        <v>27.57</v>
      </c>
      <c r="C604" t="s">
        <v>1552</v>
      </c>
      <c r="E604" t="s">
        <v>23</v>
      </c>
      <c r="F604" t="s">
        <v>28</v>
      </c>
      <c r="G604">
        <v>2012</v>
      </c>
      <c r="H604" t="s">
        <v>718</v>
      </c>
      <c r="K604" t="s">
        <v>25</v>
      </c>
      <c r="L604" t="s">
        <v>30</v>
      </c>
      <c r="M604" t="b">
        <v>1</v>
      </c>
      <c r="N604" t="s">
        <v>1553</v>
      </c>
      <c r="P604" t="s">
        <v>1554</v>
      </c>
      <c r="Q604" t="b">
        <v>1</v>
      </c>
      <c r="S604" t="str">
        <f>"9780310726685"</f>
        <v>9780310726685</v>
      </c>
      <c r="T604" t="str">
        <f>"9780310726692"</f>
        <v>9780310726692</v>
      </c>
      <c r="U604" t="b">
        <v>0</v>
      </c>
      <c r="W604" t="b">
        <v>0</v>
      </c>
    </row>
    <row r="605" spans="1:23" x14ac:dyDescent="0.3">
      <c r="A605">
        <v>2982953</v>
      </c>
      <c r="B605">
        <v>51.72</v>
      </c>
      <c r="C605" t="s">
        <v>1555</v>
      </c>
      <c r="D605" t="s">
        <v>1556</v>
      </c>
      <c r="E605" t="s">
        <v>23</v>
      </c>
      <c r="F605" t="s">
        <v>28</v>
      </c>
      <c r="G605">
        <v>2016</v>
      </c>
      <c r="H605" t="s">
        <v>168</v>
      </c>
      <c r="K605" t="s">
        <v>25</v>
      </c>
      <c r="L605" t="s">
        <v>26</v>
      </c>
      <c r="M605" t="b">
        <v>1</v>
      </c>
      <c r="N605" t="s">
        <v>577</v>
      </c>
      <c r="P605" t="s">
        <v>84</v>
      </c>
      <c r="Q605" t="b">
        <v>0</v>
      </c>
      <c r="S605" t="str">
        <f>"9780310754107"</f>
        <v>9780310754107</v>
      </c>
      <c r="T605" t="str">
        <f>"9780310759195"</f>
        <v>9780310759195</v>
      </c>
      <c r="U605" t="b">
        <v>0</v>
      </c>
      <c r="W605" t="b">
        <v>0</v>
      </c>
    </row>
    <row r="606" spans="1:23" x14ac:dyDescent="0.3">
      <c r="A606">
        <v>2982952</v>
      </c>
      <c r="B606">
        <v>35.5</v>
      </c>
      <c r="C606" t="s">
        <v>1557</v>
      </c>
      <c r="E606" t="s">
        <v>23</v>
      </c>
      <c r="F606" t="s">
        <v>28</v>
      </c>
      <c r="G606">
        <v>2015</v>
      </c>
      <c r="H606" t="s">
        <v>717</v>
      </c>
      <c r="K606" t="s">
        <v>25</v>
      </c>
      <c r="L606" t="s">
        <v>30</v>
      </c>
      <c r="M606" t="b">
        <v>1</v>
      </c>
      <c r="N606" t="s">
        <v>1541</v>
      </c>
      <c r="P606" t="s">
        <v>1542</v>
      </c>
      <c r="Q606" t="b">
        <v>1</v>
      </c>
      <c r="S606" t="str">
        <f>"9780310735564"</f>
        <v>9780310735564</v>
      </c>
      <c r="T606" t="str">
        <f>"9780310735595"</f>
        <v>9780310735595</v>
      </c>
      <c r="U606" t="b">
        <v>0</v>
      </c>
      <c r="W606" t="b">
        <v>0</v>
      </c>
    </row>
    <row r="607" spans="1:23" x14ac:dyDescent="0.3">
      <c r="A607">
        <v>2982951</v>
      </c>
      <c r="B607">
        <v>44.82</v>
      </c>
      <c r="C607" t="s">
        <v>1558</v>
      </c>
      <c r="E607" t="s">
        <v>23</v>
      </c>
      <c r="F607" t="s">
        <v>28</v>
      </c>
      <c r="G607">
        <v>2013</v>
      </c>
      <c r="H607" t="s">
        <v>1559</v>
      </c>
      <c r="K607" t="s">
        <v>25</v>
      </c>
      <c r="L607" t="s">
        <v>30</v>
      </c>
      <c r="M607" t="b">
        <v>1</v>
      </c>
      <c r="N607" t="s">
        <v>740</v>
      </c>
      <c r="P607" t="s">
        <v>1560</v>
      </c>
      <c r="Q607" t="b">
        <v>0</v>
      </c>
      <c r="S607" t="str">
        <f>"9780310724414"</f>
        <v>9780310724414</v>
      </c>
      <c r="T607" t="str">
        <f>"9780310724421"</f>
        <v>9780310724421</v>
      </c>
      <c r="U607" t="b">
        <v>0</v>
      </c>
      <c r="W607" t="b">
        <v>0</v>
      </c>
    </row>
    <row r="608" spans="1:23" x14ac:dyDescent="0.3">
      <c r="A608">
        <v>2982950</v>
      </c>
      <c r="B608">
        <v>44.82</v>
      </c>
      <c r="C608" t="s">
        <v>1561</v>
      </c>
      <c r="E608" t="s">
        <v>23</v>
      </c>
      <c r="F608" t="s">
        <v>28</v>
      </c>
      <c r="G608">
        <v>2018</v>
      </c>
      <c r="H608" t="s">
        <v>484</v>
      </c>
      <c r="K608" t="s">
        <v>25</v>
      </c>
      <c r="L608" t="s">
        <v>26</v>
      </c>
      <c r="M608" t="b">
        <v>1</v>
      </c>
      <c r="N608" t="s">
        <v>414</v>
      </c>
      <c r="P608" t="s">
        <v>415</v>
      </c>
      <c r="Q608" t="b">
        <v>1</v>
      </c>
      <c r="S608" t="str">
        <f>"9780310767015"</f>
        <v>9780310767015</v>
      </c>
      <c r="T608" t="str">
        <f>"9780310767688"</f>
        <v>9780310767688</v>
      </c>
      <c r="U608" t="b">
        <v>0</v>
      </c>
      <c r="W608" t="b">
        <v>0</v>
      </c>
    </row>
    <row r="609" spans="1:23" x14ac:dyDescent="0.3">
      <c r="A609">
        <v>2982949</v>
      </c>
      <c r="B609">
        <v>14.18</v>
      </c>
      <c r="C609" t="s">
        <v>1562</v>
      </c>
      <c r="E609" t="s">
        <v>23</v>
      </c>
      <c r="F609" t="s">
        <v>28</v>
      </c>
      <c r="G609">
        <v>2010</v>
      </c>
      <c r="H609" t="s">
        <v>704</v>
      </c>
      <c r="K609" t="s">
        <v>25</v>
      </c>
      <c r="L609" t="s">
        <v>30</v>
      </c>
      <c r="M609" t="b">
        <v>1</v>
      </c>
      <c r="N609" t="s">
        <v>1563</v>
      </c>
      <c r="Q609" t="b">
        <v>1</v>
      </c>
      <c r="T609" t="str">
        <f>"9780310423911"</f>
        <v>9780310423911</v>
      </c>
      <c r="U609" t="b">
        <v>0</v>
      </c>
      <c r="W609" t="b">
        <v>0</v>
      </c>
    </row>
    <row r="610" spans="1:23" x14ac:dyDescent="0.3">
      <c r="A610">
        <v>2982948</v>
      </c>
      <c r="B610">
        <v>42.61</v>
      </c>
      <c r="C610" t="s">
        <v>1564</v>
      </c>
      <c r="E610" t="s">
        <v>23</v>
      </c>
      <c r="F610" t="s">
        <v>28</v>
      </c>
      <c r="G610">
        <v>2012</v>
      </c>
      <c r="H610" t="s">
        <v>1315</v>
      </c>
      <c r="K610" t="s">
        <v>25</v>
      </c>
      <c r="L610" t="s">
        <v>30</v>
      </c>
      <c r="M610" t="b">
        <v>1</v>
      </c>
      <c r="N610" t="s">
        <v>44</v>
      </c>
      <c r="Q610" t="b">
        <v>0</v>
      </c>
      <c r="T610" t="str">
        <f>"9780310729839"</f>
        <v>9780310729839</v>
      </c>
      <c r="U610" t="b">
        <v>0</v>
      </c>
      <c r="W610" t="b">
        <v>0</v>
      </c>
    </row>
    <row r="611" spans="1:23" x14ac:dyDescent="0.3">
      <c r="A611">
        <v>2982947</v>
      </c>
      <c r="B611">
        <v>17.73</v>
      </c>
      <c r="C611" t="s">
        <v>1565</v>
      </c>
      <c r="E611" t="s">
        <v>23</v>
      </c>
      <c r="F611" t="s">
        <v>28</v>
      </c>
      <c r="G611">
        <v>2010</v>
      </c>
      <c r="H611" t="s">
        <v>41</v>
      </c>
      <c r="K611" t="s">
        <v>25</v>
      </c>
      <c r="L611" t="s">
        <v>30</v>
      </c>
      <c r="M611" t="b">
        <v>1</v>
      </c>
      <c r="N611" t="s">
        <v>1566</v>
      </c>
      <c r="Q611" t="b">
        <v>1</v>
      </c>
      <c r="T611" t="str">
        <f>"9780310423935"</f>
        <v>9780310423935</v>
      </c>
      <c r="U611" t="b">
        <v>0</v>
      </c>
      <c r="W611" t="b">
        <v>0</v>
      </c>
    </row>
    <row r="612" spans="1:23" x14ac:dyDescent="0.3">
      <c r="A612">
        <v>2982946</v>
      </c>
      <c r="B612">
        <v>34.47</v>
      </c>
      <c r="C612" t="s">
        <v>1567</v>
      </c>
      <c r="E612" t="s">
        <v>23</v>
      </c>
      <c r="F612" t="s">
        <v>28</v>
      </c>
      <c r="G612">
        <v>2015</v>
      </c>
      <c r="H612" t="s">
        <v>168</v>
      </c>
      <c r="K612" t="s">
        <v>25</v>
      </c>
      <c r="L612" t="s">
        <v>26</v>
      </c>
      <c r="M612" t="b">
        <v>1</v>
      </c>
      <c r="N612" t="s">
        <v>1496</v>
      </c>
      <c r="Q612" t="b">
        <v>0</v>
      </c>
      <c r="S612" t="str">
        <f>"9780310747659"</f>
        <v>9780310747659</v>
      </c>
      <c r="T612" t="str">
        <f>"9780310747451"</f>
        <v>9780310747451</v>
      </c>
      <c r="U612" t="b">
        <v>0</v>
      </c>
      <c r="W612" t="b">
        <v>0</v>
      </c>
    </row>
    <row r="613" spans="1:23" x14ac:dyDescent="0.3">
      <c r="A613">
        <v>2982945</v>
      </c>
      <c r="B613">
        <v>53.27</v>
      </c>
      <c r="C613" t="s">
        <v>1568</v>
      </c>
      <c r="E613" t="s">
        <v>23</v>
      </c>
      <c r="F613" t="s">
        <v>28</v>
      </c>
      <c r="G613">
        <v>2012</v>
      </c>
      <c r="H613" t="s">
        <v>1315</v>
      </c>
      <c r="K613" t="s">
        <v>25</v>
      </c>
      <c r="L613" t="s">
        <v>30</v>
      </c>
      <c r="M613" t="b">
        <v>1</v>
      </c>
      <c r="N613" t="s">
        <v>44</v>
      </c>
      <c r="Q613" t="b">
        <v>0</v>
      </c>
      <c r="T613" t="str">
        <f>"9780310729792"</f>
        <v>9780310729792</v>
      </c>
      <c r="U613" t="b">
        <v>0</v>
      </c>
      <c r="W613" t="b">
        <v>0</v>
      </c>
    </row>
    <row r="614" spans="1:23" x14ac:dyDescent="0.3">
      <c r="A614">
        <v>2982944</v>
      </c>
      <c r="B614">
        <v>44.82</v>
      </c>
      <c r="C614" t="s">
        <v>1569</v>
      </c>
      <c r="D614" t="s">
        <v>1570</v>
      </c>
      <c r="E614" t="s">
        <v>23</v>
      </c>
      <c r="F614" t="s">
        <v>28</v>
      </c>
      <c r="G614">
        <v>2013</v>
      </c>
      <c r="H614" t="s">
        <v>168</v>
      </c>
      <c r="K614" t="s">
        <v>25</v>
      </c>
      <c r="L614" t="s">
        <v>30</v>
      </c>
      <c r="M614" t="b">
        <v>1</v>
      </c>
      <c r="N614" t="s">
        <v>437</v>
      </c>
      <c r="P614" t="s">
        <v>234</v>
      </c>
      <c r="Q614" t="b">
        <v>0</v>
      </c>
      <c r="S614" t="str">
        <f>"9780310723622"</f>
        <v>9780310723622</v>
      </c>
      <c r="T614" t="str">
        <f>"9780310723639"</f>
        <v>9780310723639</v>
      </c>
      <c r="U614" t="b">
        <v>0</v>
      </c>
      <c r="W614" t="b">
        <v>0</v>
      </c>
    </row>
    <row r="615" spans="1:23" x14ac:dyDescent="0.3">
      <c r="A615">
        <v>2982943</v>
      </c>
      <c r="B615">
        <v>96.57</v>
      </c>
      <c r="C615" t="s">
        <v>1571</v>
      </c>
      <c r="E615" t="s">
        <v>23</v>
      </c>
      <c r="F615" t="s">
        <v>28</v>
      </c>
      <c r="G615">
        <v>2016</v>
      </c>
      <c r="H615" t="s">
        <v>1315</v>
      </c>
      <c r="K615" t="s">
        <v>25</v>
      </c>
      <c r="L615" t="s">
        <v>30</v>
      </c>
      <c r="M615" t="b">
        <v>1</v>
      </c>
      <c r="N615" t="s">
        <v>44</v>
      </c>
      <c r="Q615" t="b">
        <v>0</v>
      </c>
      <c r="S615" t="str">
        <f>"9780310754978"</f>
        <v>9780310754978</v>
      </c>
      <c r="T615" t="str">
        <f>"9780310754657"</f>
        <v>9780310754657</v>
      </c>
      <c r="U615" t="b">
        <v>0</v>
      </c>
      <c r="W615" t="b">
        <v>0</v>
      </c>
    </row>
    <row r="616" spans="1:23" x14ac:dyDescent="0.3">
      <c r="A616">
        <v>2982942</v>
      </c>
      <c r="B616">
        <v>24.12</v>
      </c>
      <c r="C616" t="s">
        <v>1572</v>
      </c>
      <c r="D616" t="s">
        <v>1573</v>
      </c>
      <c r="E616" t="s">
        <v>23</v>
      </c>
      <c r="F616" t="s">
        <v>28</v>
      </c>
      <c r="G616">
        <v>2012</v>
      </c>
      <c r="H616" t="s">
        <v>710</v>
      </c>
      <c r="K616" t="s">
        <v>25</v>
      </c>
      <c r="L616" t="s">
        <v>30</v>
      </c>
      <c r="M616" t="b">
        <v>1</v>
      </c>
      <c r="N616" t="s">
        <v>28</v>
      </c>
      <c r="P616" t="s">
        <v>1322</v>
      </c>
      <c r="Q616" t="b">
        <v>0</v>
      </c>
      <c r="S616" t="str">
        <f>"9780310726333"</f>
        <v>9780310726333</v>
      </c>
      <c r="T616" t="str">
        <f>"9780310726340"</f>
        <v>9780310726340</v>
      </c>
      <c r="U616" t="b">
        <v>0</v>
      </c>
      <c r="W616" t="b">
        <v>0</v>
      </c>
    </row>
    <row r="617" spans="1:23" x14ac:dyDescent="0.3">
      <c r="A617">
        <v>2982941</v>
      </c>
      <c r="B617">
        <v>27.57</v>
      </c>
      <c r="C617" t="s">
        <v>1574</v>
      </c>
      <c r="E617" t="s">
        <v>23</v>
      </c>
      <c r="F617" t="s">
        <v>28</v>
      </c>
      <c r="G617">
        <v>2013</v>
      </c>
      <c r="H617" t="s">
        <v>172</v>
      </c>
      <c r="K617" t="s">
        <v>25</v>
      </c>
      <c r="L617" t="s">
        <v>30</v>
      </c>
      <c r="M617" t="b">
        <v>1</v>
      </c>
      <c r="N617" t="s">
        <v>1575</v>
      </c>
      <c r="P617" t="s">
        <v>1576</v>
      </c>
      <c r="Q617" t="b">
        <v>1</v>
      </c>
      <c r="S617" t="str">
        <f>"9780310740575"</f>
        <v>9780310740575</v>
      </c>
      <c r="T617" t="str">
        <f>"9780310740582"</f>
        <v>9780310740582</v>
      </c>
      <c r="U617" t="b">
        <v>0</v>
      </c>
      <c r="W617" t="b">
        <v>0</v>
      </c>
    </row>
    <row r="618" spans="1:23" x14ac:dyDescent="0.3">
      <c r="A618">
        <v>2982940</v>
      </c>
      <c r="B618">
        <v>31.95</v>
      </c>
      <c r="C618" t="s">
        <v>1577</v>
      </c>
      <c r="D618" t="s">
        <v>143</v>
      </c>
      <c r="E618" t="s">
        <v>23</v>
      </c>
      <c r="F618" t="s">
        <v>28</v>
      </c>
      <c r="G618">
        <v>2011</v>
      </c>
      <c r="H618" t="s">
        <v>144</v>
      </c>
      <c r="K618" t="s">
        <v>25</v>
      </c>
      <c r="L618" t="s">
        <v>30</v>
      </c>
      <c r="M618" t="b">
        <v>1</v>
      </c>
      <c r="N618" t="s">
        <v>146</v>
      </c>
      <c r="P618" t="s">
        <v>147</v>
      </c>
      <c r="Q618" t="b">
        <v>0</v>
      </c>
      <c r="T618" t="str">
        <f>"9780310728719"</f>
        <v>9780310728719</v>
      </c>
      <c r="U618" t="b">
        <v>0</v>
      </c>
      <c r="W618" t="b">
        <v>0</v>
      </c>
    </row>
    <row r="619" spans="1:23" x14ac:dyDescent="0.3">
      <c r="A619">
        <v>2982939</v>
      </c>
      <c r="B619">
        <v>51.72</v>
      </c>
      <c r="C619" t="s">
        <v>1578</v>
      </c>
      <c r="D619" t="s">
        <v>1579</v>
      </c>
      <c r="E619" t="s">
        <v>23</v>
      </c>
      <c r="F619" t="s">
        <v>28</v>
      </c>
      <c r="G619">
        <v>2016</v>
      </c>
      <c r="H619" t="s">
        <v>1580</v>
      </c>
      <c r="K619" t="s">
        <v>25</v>
      </c>
      <c r="L619" t="s">
        <v>26</v>
      </c>
      <c r="M619" t="b">
        <v>1</v>
      </c>
      <c r="N619" t="s">
        <v>1581</v>
      </c>
      <c r="P619" t="s">
        <v>84</v>
      </c>
      <c r="Q619" t="b">
        <v>0</v>
      </c>
      <c r="S619" t="str">
        <f>"9780310746195"</f>
        <v>9780310746195</v>
      </c>
      <c r="T619" t="str">
        <f>"9780310755593"</f>
        <v>9780310755593</v>
      </c>
      <c r="U619" t="b">
        <v>0</v>
      </c>
      <c r="W619" t="b">
        <v>0</v>
      </c>
    </row>
    <row r="620" spans="1:23" x14ac:dyDescent="0.3">
      <c r="A620">
        <v>2982938</v>
      </c>
      <c r="B620">
        <v>51.72</v>
      </c>
      <c r="C620" t="s">
        <v>1582</v>
      </c>
      <c r="D620" t="s">
        <v>1583</v>
      </c>
      <c r="E620" t="s">
        <v>23</v>
      </c>
      <c r="F620" t="s">
        <v>28</v>
      </c>
      <c r="G620">
        <v>2019</v>
      </c>
      <c r="H620" t="s">
        <v>168</v>
      </c>
      <c r="K620" t="s">
        <v>25</v>
      </c>
      <c r="L620" t="s">
        <v>26</v>
      </c>
      <c r="M620" t="b">
        <v>1</v>
      </c>
      <c r="N620" t="s">
        <v>437</v>
      </c>
      <c r="Q620" t="b">
        <v>0</v>
      </c>
      <c r="S620" t="str">
        <f>"9780310746256"</f>
        <v>9780310746256</v>
      </c>
      <c r="T620" t="str">
        <f>"9780310747734"</f>
        <v>9780310747734</v>
      </c>
      <c r="U620" t="b">
        <v>0</v>
      </c>
      <c r="W620" t="b">
        <v>0</v>
      </c>
    </row>
    <row r="621" spans="1:23" x14ac:dyDescent="0.3">
      <c r="A621">
        <v>2982937</v>
      </c>
      <c r="B621">
        <v>10.63</v>
      </c>
      <c r="C621" t="s">
        <v>1584</v>
      </c>
      <c r="D621" t="s">
        <v>1585</v>
      </c>
      <c r="E621" t="s">
        <v>23</v>
      </c>
      <c r="F621" t="s">
        <v>28</v>
      </c>
      <c r="G621">
        <v>2010</v>
      </c>
      <c r="H621" t="s">
        <v>34</v>
      </c>
      <c r="K621" t="s">
        <v>25</v>
      </c>
      <c r="L621" t="s">
        <v>30</v>
      </c>
      <c r="M621" t="b">
        <v>1</v>
      </c>
      <c r="N621" t="s">
        <v>480</v>
      </c>
      <c r="P621" t="s">
        <v>376</v>
      </c>
      <c r="Q621" t="b">
        <v>1</v>
      </c>
      <c r="T621" t="str">
        <f>"9780310868361"</f>
        <v>9780310868361</v>
      </c>
      <c r="U621" t="b">
        <v>0</v>
      </c>
      <c r="W621" t="b">
        <v>0</v>
      </c>
    </row>
    <row r="622" spans="1:23" x14ac:dyDescent="0.3">
      <c r="A622">
        <v>2982936</v>
      </c>
      <c r="B622">
        <v>17.73</v>
      </c>
      <c r="C622" t="s">
        <v>1586</v>
      </c>
      <c r="E622" t="s">
        <v>23</v>
      </c>
      <c r="F622" t="s">
        <v>28</v>
      </c>
      <c r="G622">
        <v>2009</v>
      </c>
      <c r="H622" t="s">
        <v>718</v>
      </c>
      <c r="K622" t="s">
        <v>25</v>
      </c>
      <c r="L622" t="s">
        <v>30</v>
      </c>
      <c r="M622" t="b">
        <v>1</v>
      </c>
      <c r="N622" t="s">
        <v>408</v>
      </c>
      <c r="P622" t="s">
        <v>1587</v>
      </c>
      <c r="Q622" t="b">
        <v>1</v>
      </c>
      <c r="T622" t="str">
        <f>"9780310855804"</f>
        <v>9780310855804</v>
      </c>
      <c r="U622" t="b">
        <v>0</v>
      </c>
      <c r="W622" t="b">
        <v>0</v>
      </c>
    </row>
    <row r="623" spans="1:23" x14ac:dyDescent="0.3">
      <c r="A623">
        <v>2982935</v>
      </c>
      <c r="B623">
        <v>31.02</v>
      </c>
      <c r="C623" t="s">
        <v>1588</v>
      </c>
      <c r="E623" t="s">
        <v>23</v>
      </c>
      <c r="F623" t="s">
        <v>28</v>
      </c>
      <c r="G623">
        <v>2016</v>
      </c>
      <c r="H623" t="s">
        <v>717</v>
      </c>
      <c r="K623" t="s">
        <v>25</v>
      </c>
      <c r="L623" t="s">
        <v>26</v>
      </c>
      <c r="M623" t="b">
        <v>1</v>
      </c>
      <c r="N623" t="s">
        <v>1541</v>
      </c>
      <c r="P623" t="s">
        <v>1542</v>
      </c>
      <c r="Q623" t="b">
        <v>1</v>
      </c>
      <c r="S623" t="str">
        <f>"9780310735632"</f>
        <v>9780310735632</v>
      </c>
      <c r="T623" t="str">
        <f>"9780310735601"</f>
        <v>9780310735601</v>
      </c>
      <c r="U623" t="b">
        <v>0</v>
      </c>
      <c r="W623" t="b">
        <v>0</v>
      </c>
    </row>
    <row r="624" spans="1:23" x14ac:dyDescent="0.3">
      <c r="A624">
        <v>2982934</v>
      </c>
      <c r="B624">
        <v>44.82</v>
      </c>
      <c r="C624" t="s">
        <v>1589</v>
      </c>
      <c r="E624" t="s">
        <v>23</v>
      </c>
      <c r="F624" t="s">
        <v>28</v>
      </c>
      <c r="G624">
        <v>2016</v>
      </c>
      <c r="H624" t="s">
        <v>326</v>
      </c>
      <c r="K624" t="s">
        <v>25</v>
      </c>
      <c r="L624" t="s">
        <v>26</v>
      </c>
      <c r="M624" t="b">
        <v>1</v>
      </c>
      <c r="N624" t="s">
        <v>1590</v>
      </c>
      <c r="Q624" t="b">
        <v>0</v>
      </c>
      <c r="S624" t="str">
        <f>"9780310723646"</f>
        <v>9780310723646</v>
      </c>
      <c r="T624" t="str">
        <f>"9780310723653"</f>
        <v>9780310723653</v>
      </c>
      <c r="U624" t="b">
        <v>0</v>
      </c>
      <c r="W624" t="b">
        <v>0</v>
      </c>
    </row>
    <row r="625" spans="1:23" x14ac:dyDescent="0.3">
      <c r="A625">
        <v>2982933</v>
      </c>
      <c r="B625">
        <v>13.77</v>
      </c>
      <c r="C625" t="s">
        <v>1591</v>
      </c>
      <c r="E625" t="s">
        <v>23</v>
      </c>
      <c r="F625" t="s">
        <v>28</v>
      </c>
      <c r="G625">
        <v>2009</v>
      </c>
      <c r="H625" t="s">
        <v>704</v>
      </c>
      <c r="K625" t="s">
        <v>25</v>
      </c>
      <c r="L625" t="s">
        <v>30</v>
      </c>
      <c r="M625" t="b">
        <v>1</v>
      </c>
      <c r="N625" t="s">
        <v>1592</v>
      </c>
      <c r="P625" t="s">
        <v>1593</v>
      </c>
      <c r="Q625" t="b">
        <v>1</v>
      </c>
      <c r="S625" t="str">
        <f>"9780310715924"</f>
        <v>9780310715924</v>
      </c>
      <c r="T625" t="str">
        <f>"9780310865889"</f>
        <v>9780310865889</v>
      </c>
      <c r="U625" t="b">
        <v>0</v>
      </c>
      <c r="W625" t="b">
        <v>0</v>
      </c>
    </row>
    <row r="626" spans="1:23" x14ac:dyDescent="0.3">
      <c r="A626">
        <v>2982932</v>
      </c>
      <c r="B626">
        <v>28.39</v>
      </c>
      <c r="C626" t="s">
        <v>1594</v>
      </c>
      <c r="D626" t="s">
        <v>1595</v>
      </c>
      <c r="E626" t="s">
        <v>23</v>
      </c>
      <c r="F626" t="s">
        <v>28</v>
      </c>
      <c r="G626">
        <v>2012</v>
      </c>
      <c r="H626" t="s">
        <v>168</v>
      </c>
      <c r="K626" t="s">
        <v>25</v>
      </c>
      <c r="L626" t="s">
        <v>30</v>
      </c>
      <c r="M626" t="b">
        <v>1</v>
      </c>
      <c r="N626" t="s">
        <v>1596</v>
      </c>
      <c r="P626" t="s">
        <v>84</v>
      </c>
      <c r="Q626" t="b">
        <v>0</v>
      </c>
      <c r="T626" t="str">
        <f>"9780310726449"</f>
        <v>9780310726449</v>
      </c>
      <c r="U626" t="b">
        <v>0</v>
      </c>
      <c r="W626" t="b">
        <v>0</v>
      </c>
    </row>
    <row r="627" spans="1:23" x14ac:dyDescent="0.3">
      <c r="A627">
        <v>2982931</v>
      </c>
      <c r="B627">
        <v>14.18</v>
      </c>
      <c r="C627" t="s">
        <v>1597</v>
      </c>
      <c r="E627" t="s">
        <v>23</v>
      </c>
      <c r="F627" t="s">
        <v>28</v>
      </c>
      <c r="G627">
        <v>2009</v>
      </c>
      <c r="H627" t="s">
        <v>704</v>
      </c>
      <c r="K627" t="s">
        <v>25</v>
      </c>
      <c r="L627" t="s">
        <v>30</v>
      </c>
      <c r="M627" t="b">
        <v>1</v>
      </c>
      <c r="N627" t="s">
        <v>1592</v>
      </c>
      <c r="P627" t="s">
        <v>1593</v>
      </c>
      <c r="Q627" t="b">
        <v>1</v>
      </c>
      <c r="T627" t="str">
        <f>"9780310868194"</f>
        <v>9780310868194</v>
      </c>
      <c r="U627" t="b">
        <v>0</v>
      </c>
      <c r="W627" t="b">
        <v>0</v>
      </c>
    </row>
    <row r="628" spans="1:23" x14ac:dyDescent="0.3">
      <c r="A628">
        <v>2982930</v>
      </c>
      <c r="B628">
        <v>58.62</v>
      </c>
      <c r="C628" t="s">
        <v>1598</v>
      </c>
      <c r="E628" t="s">
        <v>23</v>
      </c>
      <c r="F628" t="s">
        <v>28</v>
      </c>
      <c r="G628">
        <v>2010</v>
      </c>
      <c r="H628" t="s">
        <v>222</v>
      </c>
      <c r="K628" t="s">
        <v>25</v>
      </c>
      <c r="L628" t="s">
        <v>30</v>
      </c>
      <c r="M628" t="b">
        <v>1</v>
      </c>
      <c r="N628" t="s">
        <v>601</v>
      </c>
      <c r="P628" t="s">
        <v>234</v>
      </c>
      <c r="Q628" t="b">
        <v>0</v>
      </c>
      <c r="S628" t="str">
        <f>"9780310716372"</f>
        <v>9780310716372</v>
      </c>
      <c r="T628" t="str">
        <f>"9780310425090"</f>
        <v>9780310425090</v>
      </c>
      <c r="U628" t="b">
        <v>0</v>
      </c>
      <c r="W628" t="b">
        <v>0</v>
      </c>
    </row>
    <row r="629" spans="1:23" x14ac:dyDescent="0.3">
      <c r="A629">
        <v>2982929</v>
      </c>
      <c r="B629">
        <v>58.62</v>
      </c>
      <c r="C629" t="s">
        <v>1599</v>
      </c>
      <c r="D629" t="s">
        <v>1600</v>
      </c>
      <c r="E629" t="s">
        <v>23</v>
      </c>
      <c r="F629" t="s">
        <v>28</v>
      </c>
      <c r="G629">
        <v>2020</v>
      </c>
      <c r="H629" t="s">
        <v>123</v>
      </c>
      <c r="K629" t="s">
        <v>25</v>
      </c>
      <c r="L629" t="s">
        <v>26</v>
      </c>
      <c r="M629" t="b">
        <v>1</v>
      </c>
      <c r="N629" t="s">
        <v>915</v>
      </c>
      <c r="P629" t="s">
        <v>921</v>
      </c>
      <c r="Q629" t="b">
        <v>0</v>
      </c>
      <c r="S629" t="str">
        <f>"9780310770046"</f>
        <v>9780310770046</v>
      </c>
      <c r="T629" t="str">
        <f>"9780310770053"</f>
        <v>9780310770053</v>
      </c>
      <c r="U629" t="b">
        <v>0</v>
      </c>
      <c r="W629" t="b">
        <v>0</v>
      </c>
    </row>
    <row r="630" spans="1:23" x14ac:dyDescent="0.3">
      <c r="A630">
        <v>2982928</v>
      </c>
      <c r="B630">
        <v>35.5</v>
      </c>
      <c r="C630" t="s">
        <v>1601</v>
      </c>
      <c r="E630" t="s">
        <v>23</v>
      </c>
      <c r="F630" t="s">
        <v>28</v>
      </c>
      <c r="G630">
        <v>2010</v>
      </c>
      <c r="H630" t="s">
        <v>29</v>
      </c>
      <c r="K630" t="s">
        <v>25</v>
      </c>
      <c r="L630" t="s">
        <v>30</v>
      </c>
      <c r="M630" t="b">
        <v>1</v>
      </c>
      <c r="N630" t="s">
        <v>272</v>
      </c>
      <c r="Q630" t="b">
        <v>1</v>
      </c>
      <c r="T630" t="str">
        <f>"9780310423836"</f>
        <v>9780310423836</v>
      </c>
      <c r="U630" t="b">
        <v>0</v>
      </c>
      <c r="W630" t="b">
        <v>0</v>
      </c>
    </row>
    <row r="631" spans="1:23" x14ac:dyDescent="0.3">
      <c r="A631">
        <v>2982927</v>
      </c>
      <c r="B631">
        <v>37.92</v>
      </c>
      <c r="C631" t="s">
        <v>1602</v>
      </c>
      <c r="E631" t="s">
        <v>23</v>
      </c>
      <c r="F631" t="s">
        <v>28</v>
      </c>
      <c r="G631">
        <v>2012</v>
      </c>
      <c r="H631" t="s">
        <v>1603</v>
      </c>
      <c r="K631" t="s">
        <v>25</v>
      </c>
      <c r="L631" t="s">
        <v>30</v>
      </c>
      <c r="M631" t="b">
        <v>1</v>
      </c>
      <c r="N631" t="s">
        <v>1604</v>
      </c>
      <c r="P631" t="s">
        <v>1605</v>
      </c>
      <c r="Q631" t="b">
        <v>1</v>
      </c>
      <c r="S631" t="str">
        <f>"9780310726135"</f>
        <v>9780310726135</v>
      </c>
      <c r="T631" t="str">
        <f>"9780310726142"</f>
        <v>9780310726142</v>
      </c>
      <c r="U631" t="b">
        <v>0</v>
      </c>
      <c r="W631" t="b">
        <v>0</v>
      </c>
    </row>
    <row r="632" spans="1:23" x14ac:dyDescent="0.3">
      <c r="A632">
        <v>2982926</v>
      </c>
      <c r="B632">
        <v>17.73</v>
      </c>
      <c r="C632" t="s">
        <v>1606</v>
      </c>
      <c r="D632" t="s">
        <v>1607</v>
      </c>
      <c r="E632" t="s">
        <v>23</v>
      </c>
      <c r="F632" t="s">
        <v>28</v>
      </c>
      <c r="G632">
        <v>2014</v>
      </c>
      <c r="H632" t="s">
        <v>710</v>
      </c>
      <c r="K632" t="s">
        <v>25</v>
      </c>
      <c r="L632" t="s">
        <v>30</v>
      </c>
      <c r="M632" t="b">
        <v>1</v>
      </c>
      <c r="N632" t="s">
        <v>510</v>
      </c>
      <c r="P632" t="s">
        <v>1322</v>
      </c>
      <c r="Q632" t="b">
        <v>0</v>
      </c>
      <c r="S632" t="str">
        <f>"9780310725404"</f>
        <v>9780310725404</v>
      </c>
      <c r="T632" t="str">
        <f>"9780310747178"</f>
        <v>9780310747178</v>
      </c>
      <c r="U632" t="b">
        <v>0</v>
      </c>
      <c r="W632" t="b">
        <v>0</v>
      </c>
    </row>
    <row r="633" spans="1:23" x14ac:dyDescent="0.3">
      <c r="A633">
        <v>2982925</v>
      </c>
      <c r="B633">
        <v>17.22</v>
      </c>
      <c r="C633" t="s">
        <v>1608</v>
      </c>
      <c r="D633" t="s">
        <v>93</v>
      </c>
      <c r="E633" t="s">
        <v>23</v>
      </c>
      <c r="F633" t="s">
        <v>28</v>
      </c>
      <c r="G633">
        <v>2009</v>
      </c>
      <c r="H633" t="s">
        <v>34</v>
      </c>
      <c r="K633" t="s">
        <v>25</v>
      </c>
      <c r="L633" t="s">
        <v>30</v>
      </c>
      <c r="M633" t="b">
        <v>1</v>
      </c>
      <c r="N633" t="s">
        <v>480</v>
      </c>
      <c r="P633" t="s">
        <v>1519</v>
      </c>
      <c r="Q633" t="b">
        <v>1</v>
      </c>
      <c r="S633" t="str">
        <f>"9780310717072"</f>
        <v>9780310717072</v>
      </c>
      <c r="T633" t="str">
        <f>"9780310868934"</f>
        <v>9780310868934</v>
      </c>
      <c r="U633" t="b">
        <v>0</v>
      </c>
      <c r="W633" t="b">
        <v>0</v>
      </c>
    </row>
    <row r="634" spans="1:23" x14ac:dyDescent="0.3">
      <c r="A634">
        <v>2982924</v>
      </c>
      <c r="B634">
        <v>24.84</v>
      </c>
      <c r="C634" t="s">
        <v>1609</v>
      </c>
      <c r="E634" t="s">
        <v>23</v>
      </c>
      <c r="F634" t="s">
        <v>28</v>
      </c>
      <c r="G634">
        <v>2012</v>
      </c>
      <c r="H634" t="s">
        <v>336</v>
      </c>
      <c r="K634" t="s">
        <v>25</v>
      </c>
      <c r="L634" t="s">
        <v>30</v>
      </c>
      <c r="M634" t="b">
        <v>1</v>
      </c>
      <c r="N634" t="s">
        <v>408</v>
      </c>
      <c r="P634" t="s">
        <v>1587</v>
      </c>
      <c r="Q634" t="b">
        <v>1</v>
      </c>
      <c r="T634" t="str">
        <f>"9780310730521"</f>
        <v>9780310730521</v>
      </c>
      <c r="U634" t="b">
        <v>0</v>
      </c>
      <c r="W634" t="b">
        <v>0</v>
      </c>
    </row>
    <row r="635" spans="1:23" x14ac:dyDescent="0.3">
      <c r="A635">
        <v>2982923</v>
      </c>
      <c r="B635">
        <v>17.73</v>
      </c>
      <c r="C635" t="s">
        <v>1610</v>
      </c>
      <c r="E635" t="s">
        <v>23</v>
      </c>
      <c r="F635" t="s">
        <v>28</v>
      </c>
      <c r="G635">
        <v>2009</v>
      </c>
      <c r="H635" t="s">
        <v>718</v>
      </c>
      <c r="K635" t="s">
        <v>25</v>
      </c>
      <c r="L635" t="s">
        <v>30</v>
      </c>
      <c r="M635" t="b">
        <v>1</v>
      </c>
      <c r="N635" t="s">
        <v>272</v>
      </c>
      <c r="P635" t="s">
        <v>1311</v>
      </c>
      <c r="Q635" t="b">
        <v>1</v>
      </c>
      <c r="T635" t="str">
        <f>"9780310830986"</f>
        <v>9780310830986</v>
      </c>
      <c r="U635" t="b">
        <v>0</v>
      </c>
      <c r="W635" t="b">
        <v>0</v>
      </c>
    </row>
    <row r="636" spans="1:23" x14ac:dyDescent="0.3">
      <c r="A636">
        <v>2982922</v>
      </c>
      <c r="B636">
        <v>35.5</v>
      </c>
      <c r="C636" t="s">
        <v>1611</v>
      </c>
      <c r="E636" t="s">
        <v>23</v>
      </c>
      <c r="F636" t="s">
        <v>28</v>
      </c>
      <c r="G636">
        <v>2009</v>
      </c>
      <c r="H636" t="s">
        <v>704</v>
      </c>
      <c r="K636" t="s">
        <v>25</v>
      </c>
      <c r="L636" t="s">
        <v>30</v>
      </c>
      <c r="M636" t="b">
        <v>1</v>
      </c>
      <c r="N636" t="s">
        <v>1612</v>
      </c>
      <c r="Q636" t="b">
        <v>1</v>
      </c>
      <c r="T636" t="str">
        <f>"9780310868736"</f>
        <v>9780310868736</v>
      </c>
      <c r="U636" t="b">
        <v>0</v>
      </c>
      <c r="W636" t="b">
        <v>0</v>
      </c>
    </row>
    <row r="637" spans="1:23" x14ac:dyDescent="0.3">
      <c r="A637">
        <v>2982921</v>
      </c>
      <c r="B637">
        <v>28.39</v>
      </c>
      <c r="C637" t="s">
        <v>1613</v>
      </c>
      <c r="D637" t="s">
        <v>1614</v>
      </c>
      <c r="E637" t="s">
        <v>23</v>
      </c>
      <c r="F637" t="s">
        <v>28</v>
      </c>
      <c r="G637">
        <v>2010</v>
      </c>
      <c r="H637" t="s">
        <v>34</v>
      </c>
      <c r="K637" t="s">
        <v>25</v>
      </c>
      <c r="L637" t="s">
        <v>30</v>
      </c>
      <c r="M637" t="b">
        <v>1</v>
      </c>
      <c r="N637" t="s">
        <v>1615</v>
      </c>
      <c r="P637" t="s">
        <v>1616</v>
      </c>
      <c r="Q637" t="b">
        <v>1</v>
      </c>
      <c r="T637" t="str">
        <f>"9780310423645"</f>
        <v>9780310423645</v>
      </c>
      <c r="U637" t="b">
        <v>0</v>
      </c>
      <c r="W637" t="b">
        <v>0</v>
      </c>
    </row>
    <row r="638" spans="1:23" x14ac:dyDescent="0.3">
      <c r="A638">
        <v>2982920</v>
      </c>
      <c r="B638">
        <v>42.61</v>
      </c>
      <c r="C638" t="s">
        <v>1617</v>
      </c>
      <c r="E638" t="s">
        <v>23</v>
      </c>
      <c r="F638" t="s">
        <v>28</v>
      </c>
      <c r="G638">
        <v>2010</v>
      </c>
      <c r="H638" t="s">
        <v>29</v>
      </c>
      <c r="K638" t="s">
        <v>25</v>
      </c>
      <c r="L638" t="s">
        <v>30</v>
      </c>
      <c r="M638" t="b">
        <v>1</v>
      </c>
      <c r="N638" t="s">
        <v>1618</v>
      </c>
      <c r="Q638" t="b">
        <v>1</v>
      </c>
      <c r="T638" t="str">
        <f>"9780310866473"</f>
        <v>9780310866473</v>
      </c>
      <c r="U638" t="b">
        <v>0</v>
      </c>
      <c r="W638" t="b">
        <v>0</v>
      </c>
    </row>
    <row r="639" spans="1:23" x14ac:dyDescent="0.3">
      <c r="A639">
        <v>2982919</v>
      </c>
      <c r="B639">
        <v>14.18</v>
      </c>
      <c r="C639" t="s">
        <v>1619</v>
      </c>
      <c r="E639" t="s">
        <v>23</v>
      </c>
      <c r="F639" t="s">
        <v>28</v>
      </c>
      <c r="G639">
        <v>2009</v>
      </c>
      <c r="H639" t="s">
        <v>704</v>
      </c>
      <c r="K639" t="s">
        <v>25</v>
      </c>
      <c r="L639" t="s">
        <v>30</v>
      </c>
      <c r="M639" t="b">
        <v>1</v>
      </c>
      <c r="N639" t="s">
        <v>1592</v>
      </c>
      <c r="P639" t="s">
        <v>1593</v>
      </c>
      <c r="Q639" t="b">
        <v>1</v>
      </c>
      <c r="T639" t="str">
        <f>"9780310866664"</f>
        <v>9780310866664</v>
      </c>
      <c r="U639" t="b">
        <v>0</v>
      </c>
      <c r="W639" t="b">
        <v>0</v>
      </c>
    </row>
    <row r="640" spans="1:23" x14ac:dyDescent="0.3">
      <c r="A640">
        <v>2982918</v>
      </c>
      <c r="B640">
        <v>17.22</v>
      </c>
      <c r="C640" t="s">
        <v>1620</v>
      </c>
      <c r="D640" t="s">
        <v>1621</v>
      </c>
      <c r="E640" t="s">
        <v>23</v>
      </c>
      <c r="F640" t="s">
        <v>28</v>
      </c>
      <c r="G640">
        <v>2010</v>
      </c>
      <c r="H640" t="s">
        <v>34</v>
      </c>
      <c r="K640" t="s">
        <v>25</v>
      </c>
      <c r="L640" t="s">
        <v>30</v>
      </c>
      <c r="M640" t="b">
        <v>1</v>
      </c>
      <c r="N640" t="s">
        <v>1622</v>
      </c>
      <c r="P640" t="s">
        <v>376</v>
      </c>
      <c r="Q640" t="b">
        <v>1</v>
      </c>
      <c r="S640" t="str">
        <f>"9780310715726"</f>
        <v>9780310715726</v>
      </c>
      <c r="T640" t="str">
        <f>"9780310873280"</f>
        <v>9780310873280</v>
      </c>
      <c r="U640" t="b">
        <v>0</v>
      </c>
      <c r="W640" t="b">
        <v>0</v>
      </c>
    </row>
    <row r="641" spans="1:23" x14ac:dyDescent="0.3">
      <c r="A641">
        <v>2982917</v>
      </c>
      <c r="B641">
        <v>17.73</v>
      </c>
      <c r="C641" t="s">
        <v>1623</v>
      </c>
      <c r="E641" t="s">
        <v>23</v>
      </c>
      <c r="F641" t="s">
        <v>28</v>
      </c>
      <c r="G641">
        <v>2009</v>
      </c>
      <c r="H641" t="s">
        <v>718</v>
      </c>
      <c r="K641" t="s">
        <v>25</v>
      </c>
      <c r="L641" t="s">
        <v>30</v>
      </c>
      <c r="M641" t="b">
        <v>1</v>
      </c>
      <c r="N641" t="s">
        <v>83</v>
      </c>
      <c r="P641" t="s">
        <v>1624</v>
      </c>
      <c r="Q641" t="b">
        <v>1</v>
      </c>
      <c r="S641" t="str">
        <f>"9780310707561"</f>
        <v>9780310707561</v>
      </c>
      <c r="T641" t="str">
        <f>"9780310568834"</f>
        <v>9780310568834</v>
      </c>
      <c r="U641" t="b">
        <v>0</v>
      </c>
      <c r="W641" t="b">
        <v>0</v>
      </c>
    </row>
    <row r="642" spans="1:23" x14ac:dyDescent="0.3">
      <c r="A642">
        <v>2982916</v>
      </c>
      <c r="B642">
        <v>31.02</v>
      </c>
      <c r="C642" t="s">
        <v>1625</v>
      </c>
      <c r="E642" t="s">
        <v>23</v>
      </c>
      <c r="F642" t="s">
        <v>28</v>
      </c>
      <c r="G642">
        <v>2014</v>
      </c>
      <c r="H642" t="s">
        <v>341</v>
      </c>
      <c r="K642" t="s">
        <v>25</v>
      </c>
      <c r="L642" t="s">
        <v>30</v>
      </c>
      <c r="M642" t="b">
        <v>1</v>
      </c>
      <c r="N642" t="s">
        <v>1626</v>
      </c>
      <c r="P642" t="s">
        <v>1627</v>
      </c>
      <c r="Q642" t="b">
        <v>0</v>
      </c>
      <c r="S642" t="str">
        <f>"9780310737032"</f>
        <v>9780310737032</v>
      </c>
      <c r="T642" t="str">
        <f>"9780310737049"</f>
        <v>9780310737049</v>
      </c>
      <c r="U642" t="b">
        <v>0</v>
      </c>
      <c r="W642" t="b">
        <v>0</v>
      </c>
    </row>
    <row r="643" spans="1:23" x14ac:dyDescent="0.3">
      <c r="A643">
        <v>2982915</v>
      </c>
      <c r="B643">
        <v>34.47</v>
      </c>
      <c r="C643" t="s">
        <v>1628</v>
      </c>
      <c r="E643" t="s">
        <v>23</v>
      </c>
      <c r="F643" t="s">
        <v>28</v>
      </c>
      <c r="G643">
        <v>2009</v>
      </c>
      <c r="H643" t="s">
        <v>168</v>
      </c>
      <c r="K643" t="s">
        <v>25</v>
      </c>
      <c r="L643" t="s">
        <v>30</v>
      </c>
      <c r="M643" t="b">
        <v>1</v>
      </c>
      <c r="N643" t="s">
        <v>1629</v>
      </c>
      <c r="P643" s="1">
        <v>0.11944444444444445</v>
      </c>
      <c r="Q643" t="b">
        <v>0</v>
      </c>
      <c r="S643" t="str">
        <f>"9780310713111"</f>
        <v>9780310713111</v>
      </c>
      <c r="T643" t="str">
        <f>"9780310866015"</f>
        <v>9780310866015</v>
      </c>
      <c r="U643" t="b">
        <v>0</v>
      </c>
      <c r="W643" t="b">
        <v>0</v>
      </c>
    </row>
    <row r="644" spans="1:23" x14ac:dyDescent="0.3">
      <c r="A644">
        <v>2982914</v>
      </c>
      <c r="B644">
        <v>27.57</v>
      </c>
      <c r="C644" t="s">
        <v>1630</v>
      </c>
      <c r="D644" t="s">
        <v>1631</v>
      </c>
      <c r="E644" t="s">
        <v>23</v>
      </c>
      <c r="F644" t="s">
        <v>28</v>
      </c>
      <c r="G644">
        <v>2010</v>
      </c>
      <c r="H644" t="s">
        <v>1422</v>
      </c>
      <c r="K644" t="s">
        <v>25</v>
      </c>
      <c r="L644" t="s">
        <v>30</v>
      </c>
      <c r="M644" t="b">
        <v>1</v>
      </c>
      <c r="N644" t="s">
        <v>1632</v>
      </c>
      <c r="Q644" t="b">
        <v>1</v>
      </c>
      <c r="S644" t="str">
        <f>"9780310722847"</f>
        <v>9780310722847</v>
      </c>
      <c r="T644" t="str">
        <f>"9780310399674"</f>
        <v>9780310399674</v>
      </c>
      <c r="U644" t="b">
        <v>0</v>
      </c>
      <c r="W644" t="b">
        <v>0</v>
      </c>
    </row>
    <row r="645" spans="1:23" x14ac:dyDescent="0.3">
      <c r="A645">
        <v>2982913</v>
      </c>
      <c r="B645">
        <v>34.47</v>
      </c>
      <c r="C645" t="s">
        <v>1633</v>
      </c>
      <c r="E645" t="s">
        <v>23</v>
      </c>
      <c r="F645" t="s">
        <v>28</v>
      </c>
      <c r="G645">
        <v>2016</v>
      </c>
      <c r="H645" t="s">
        <v>1634</v>
      </c>
      <c r="K645" t="s">
        <v>25</v>
      </c>
      <c r="L645" t="s">
        <v>26</v>
      </c>
      <c r="M645" t="b">
        <v>1</v>
      </c>
      <c r="N645" t="s">
        <v>1635</v>
      </c>
      <c r="P645" t="s">
        <v>1408</v>
      </c>
      <c r="Q645" t="b">
        <v>0</v>
      </c>
      <c r="S645" t="str">
        <f>"9780310745723"</f>
        <v>9780310745723</v>
      </c>
      <c r="T645" t="str">
        <f>"9780310757313"</f>
        <v>9780310757313</v>
      </c>
      <c r="U645" t="b">
        <v>0</v>
      </c>
      <c r="W645" t="b">
        <v>0</v>
      </c>
    </row>
    <row r="646" spans="1:23" x14ac:dyDescent="0.3">
      <c r="A646">
        <v>2982912</v>
      </c>
      <c r="B646">
        <v>17.22</v>
      </c>
      <c r="C646" t="s">
        <v>1636</v>
      </c>
      <c r="D646" t="s">
        <v>138</v>
      </c>
      <c r="E646" t="s">
        <v>23</v>
      </c>
      <c r="F646" t="s">
        <v>28</v>
      </c>
      <c r="G646">
        <v>2010</v>
      </c>
      <c r="H646" t="s">
        <v>144</v>
      </c>
      <c r="K646" t="s">
        <v>25</v>
      </c>
      <c r="L646" t="s">
        <v>30</v>
      </c>
      <c r="M646" t="b">
        <v>1</v>
      </c>
      <c r="N646" t="s">
        <v>1417</v>
      </c>
      <c r="P646" t="s">
        <v>1637</v>
      </c>
      <c r="Q646" t="b">
        <v>0</v>
      </c>
      <c r="S646" t="str">
        <f>"9780310720072"</f>
        <v>9780310720072</v>
      </c>
      <c r="T646" t="str">
        <f>"9780310424710"</f>
        <v>9780310424710</v>
      </c>
      <c r="U646" t="b">
        <v>0</v>
      </c>
      <c r="W646" t="b">
        <v>0</v>
      </c>
    </row>
    <row r="647" spans="1:23" x14ac:dyDescent="0.3">
      <c r="A647">
        <v>2982911</v>
      </c>
      <c r="B647">
        <v>17.73</v>
      </c>
      <c r="C647" t="s">
        <v>1638</v>
      </c>
      <c r="E647" t="s">
        <v>23</v>
      </c>
      <c r="F647" t="s">
        <v>28</v>
      </c>
      <c r="G647">
        <v>2009</v>
      </c>
      <c r="H647" t="s">
        <v>718</v>
      </c>
      <c r="K647" t="s">
        <v>25</v>
      </c>
      <c r="L647" t="s">
        <v>30</v>
      </c>
      <c r="M647" t="b">
        <v>1</v>
      </c>
      <c r="N647" t="s">
        <v>83</v>
      </c>
      <c r="P647" t="s">
        <v>1624</v>
      </c>
      <c r="Q647" t="b">
        <v>1</v>
      </c>
      <c r="S647" t="str">
        <f>"9780310710240"</f>
        <v>9780310710240</v>
      </c>
      <c r="T647" t="str">
        <f>"9780310568292"</f>
        <v>9780310568292</v>
      </c>
      <c r="U647" t="b">
        <v>0</v>
      </c>
      <c r="W647" t="b">
        <v>0</v>
      </c>
    </row>
    <row r="648" spans="1:23" x14ac:dyDescent="0.3">
      <c r="A648">
        <v>2982910</v>
      </c>
      <c r="B648">
        <v>17.22</v>
      </c>
      <c r="C648" t="s">
        <v>1639</v>
      </c>
      <c r="D648" t="s">
        <v>1640</v>
      </c>
      <c r="E648" t="s">
        <v>23</v>
      </c>
      <c r="F648" t="s">
        <v>28</v>
      </c>
      <c r="G648">
        <v>2009</v>
      </c>
      <c r="H648" t="s">
        <v>34</v>
      </c>
      <c r="K648" t="s">
        <v>25</v>
      </c>
      <c r="L648" t="s">
        <v>30</v>
      </c>
      <c r="M648" t="b">
        <v>1</v>
      </c>
      <c r="N648" t="s">
        <v>480</v>
      </c>
      <c r="P648" t="s">
        <v>1641</v>
      </c>
      <c r="Q648" t="b">
        <v>1</v>
      </c>
      <c r="S648" t="str">
        <f>"9780310714576"</f>
        <v>9780310714576</v>
      </c>
      <c r="T648" t="str">
        <f>"9780310868545"</f>
        <v>9780310868545</v>
      </c>
      <c r="U648" t="b">
        <v>0</v>
      </c>
      <c r="W648" t="b">
        <v>0</v>
      </c>
    </row>
    <row r="649" spans="1:23" x14ac:dyDescent="0.3">
      <c r="A649">
        <v>2982909</v>
      </c>
      <c r="B649">
        <v>120.72</v>
      </c>
      <c r="C649" t="s">
        <v>1642</v>
      </c>
      <c r="D649" t="s">
        <v>1643</v>
      </c>
      <c r="E649" t="s">
        <v>23</v>
      </c>
      <c r="F649" t="s">
        <v>28</v>
      </c>
      <c r="G649">
        <v>2017</v>
      </c>
      <c r="H649" t="s">
        <v>863</v>
      </c>
      <c r="K649" t="s">
        <v>25</v>
      </c>
      <c r="L649" t="s">
        <v>26</v>
      </c>
      <c r="M649" t="b">
        <v>1</v>
      </c>
      <c r="N649" t="s">
        <v>44</v>
      </c>
      <c r="Q649" t="b">
        <v>0</v>
      </c>
      <c r="S649" t="str">
        <f>"9780310758600"</f>
        <v>9780310758600</v>
      </c>
      <c r="T649" t="str">
        <f>"9780310758532"</f>
        <v>9780310758532</v>
      </c>
      <c r="U649" t="b">
        <v>0</v>
      </c>
      <c r="W649" t="b">
        <v>0</v>
      </c>
    </row>
    <row r="650" spans="1:23" x14ac:dyDescent="0.3">
      <c r="A650">
        <v>2982908</v>
      </c>
      <c r="B650">
        <v>17.73</v>
      </c>
      <c r="C650" t="s">
        <v>1644</v>
      </c>
      <c r="E650" t="s">
        <v>23</v>
      </c>
      <c r="F650" t="s">
        <v>28</v>
      </c>
      <c r="G650">
        <v>2009</v>
      </c>
      <c r="H650" t="s">
        <v>718</v>
      </c>
      <c r="K650" t="s">
        <v>25</v>
      </c>
      <c r="L650" t="s">
        <v>30</v>
      </c>
      <c r="M650" t="b">
        <v>1</v>
      </c>
      <c r="N650" t="s">
        <v>408</v>
      </c>
      <c r="P650" t="s">
        <v>1587</v>
      </c>
      <c r="Q650" t="b">
        <v>1</v>
      </c>
      <c r="T650" t="str">
        <f>"9780310855927"</f>
        <v>9780310855927</v>
      </c>
      <c r="U650" t="b">
        <v>0</v>
      </c>
      <c r="W650" t="b">
        <v>0</v>
      </c>
    </row>
    <row r="651" spans="1:23" x14ac:dyDescent="0.3">
      <c r="A651">
        <v>2982907</v>
      </c>
      <c r="B651">
        <v>3.52</v>
      </c>
      <c r="C651" t="s">
        <v>1645</v>
      </c>
      <c r="D651" t="s">
        <v>229</v>
      </c>
      <c r="E651" t="s">
        <v>23</v>
      </c>
      <c r="F651" t="s">
        <v>28</v>
      </c>
      <c r="G651">
        <v>2020</v>
      </c>
      <c r="H651" t="s">
        <v>702</v>
      </c>
      <c r="I651" t="s">
        <v>1646</v>
      </c>
      <c r="J651" t="s">
        <v>1647</v>
      </c>
      <c r="K651" t="s">
        <v>25</v>
      </c>
      <c r="L651" t="s">
        <v>26</v>
      </c>
      <c r="M651" t="b">
        <v>1</v>
      </c>
      <c r="N651" t="s">
        <v>231</v>
      </c>
      <c r="O651" t="str">
        <f>"[E]"</f>
        <v>[E]</v>
      </c>
      <c r="Q651" t="b">
        <v>1</v>
      </c>
      <c r="T651" t="str">
        <f>"9780310735748"</f>
        <v>9780310735748</v>
      </c>
      <c r="U651" t="b">
        <v>0</v>
      </c>
      <c r="W651" t="b">
        <v>0</v>
      </c>
    </row>
    <row r="652" spans="1:23" x14ac:dyDescent="0.3">
      <c r="A652">
        <v>2982906</v>
      </c>
      <c r="B652">
        <v>14.18</v>
      </c>
      <c r="C652" t="s">
        <v>1648</v>
      </c>
      <c r="E652" t="s">
        <v>23</v>
      </c>
      <c r="F652" t="s">
        <v>28</v>
      </c>
      <c r="G652">
        <v>2009</v>
      </c>
      <c r="H652" t="s">
        <v>704</v>
      </c>
      <c r="K652" t="s">
        <v>25</v>
      </c>
      <c r="L652" t="s">
        <v>30</v>
      </c>
      <c r="M652" t="b">
        <v>1</v>
      </c>
      <c r="N652" t="s">
        <v>1592</v>
      </c>
      <c r="P652" t="s">
        <v>1593</v>
      </c>
      <c r="Q652" t="b">
        <v>1</v>
      </c>
      <c r="T652" t="str">
        <f>"9780310868354"</f>
        <v>9780310868354</v>
      </c>
      <c r="U652" t="b">
        <v>0</v>
      </c>
      <c r="W652" t="b">
        <v>0</v>
      </c>
    </row>
    <row r="653" spans="1:23" x14ac:dyDescent="0.3">
      <c r="A653">
        <v>2982905</v>
      </c>
      <c r="B653">
        <v>17.22</v>
      </c>
      <c r="C653" t="s">
        <v>1649</v>
      </c>
      <c r="D653" t="s">
        <v>138</v>
      </c>
      <c r="E653" t="s">
        <v>23</v>
      </c>
      <c r="F653" t="s">
        <v>28</v>
      </c>
      <c r="G653">
        <v>2011</v>
      </c>
      <c r="H653" t="s">
        <v>144</v>
      </c>
      <c r="K653" t="s">
        <v>25</v>
      </c>
      <c r="L653" t="s">
        <v>30</v>
      </c>
      <c r="M653" t="b">
        <v>1</v>
      </c>
      <c r="N653" t="s">
        <v>44</v>
      </c>
      <c r="P653" t="s">
        <v>1637</v>
      </c>
      <c r="Q653" t="b">
        <v>0</v>
      </c>
      <c r="S653" t="str">
        <f>"9780310721864"</f>
        <v>9780310721864</v>
      </c>
      <c r="T653" t="str">
        <f>"9780310410102"</f>
        <v>9780310410102</v>
      </c>
      <c r="U653" t="b">
        <v>0</v>
      </c>
      <c r="W653" t="b">
        <v>0</v>
      </c>
    </row>
    <row r="654" spans="1:23" x14ac:dyDescent="0.3">
      <c r="A654">
        <v>2982904</v>
      </c>
      <c r="B654">
        <v>17.73</v>
      </c>
      <c r="C654" t="s">
        <v>1650</v>
      </c>
      <c r="E654" t="s">
        <v>23</v>
      </c>
      <c r="F654" t="s">
        <v>28</v>
      </c>
      <c r="G654">
        <v>2009</v>
      </c>
      <c r="H654" t="s">
        <v>718</v>
      </c>
      <c r="K654" t="s">
        <v>25</v>
      </c>
      <c r="L654" t="s">
        <v>30</v>
      </c>
      <c r="M654" t="b">
        <v>1</v>
      </c>
      <c r="N654" t="s">
        <v>83</v>
      </c>
      <c r="P654" t="s">
        <v>1624</v>
      </c>
      <c r="Q654" t="b">
        <v>1</v>
      </c>
      <c r="T654" t="str">
        <f>"9780310568230"</f>
        <v>9780310568230</v>
      </c>
      <c r="U654" t="b">
        <v>0</v>
      </c>
      <c r="W654" t="b">
        <v>0</v>
      </c>
    </row>
    <row r="655" spans="1:23" x14ac:dyDescent="0.3">
      <c r="A655">
        <v>2982903</v>
      </c>
      <c r="B655">
        <v>51.72</v>
      </c>
      <c r="C655" t="s">
        <v>1651</v>
      </c>
      <c r="E655" t="s">
        <v>23</v>
      </c>
      <c r="F655" t="s">
        <v>28</v>
      </c>
      <c r="G655">
        <v>2015</v>
      </c>
      <c r="H655" t="s">
        <v>1652</v>
      </c>
      <c r="K655" t="s">
        <v>25</v>
      </c>
      <c r="L655" t="s">
        <v>30</v>
      </c>
      <c r="M655" t="b">
        <v>1</v>
      </c>
      <c r="N655" t="s">
        <v>1653</v>
      </c>
      <c r="P655" t="s">
        <v>1654</v>
      </c>
      <c r="Q655" t="b">
        <v>1</v>
      </c>
      <c r="S655" t="str">
        <f>"9780310748410"</f>
        <v>9780310748410</v>
      </c>
      <c r="T655" t="str">
        <f>"9780310748366"</f>
        <v>9780310748366</v>
      </c>
      <c r="U655" t="b">
        <v>0</v>
      </c>
      <c r="W655" t="b">
        <v>0</v>
      </c>
    </row>
    <row r="656" spans="1:23" x14ac:dyDescent="0.3">
      <c r="A656">
        <v>2982902</v>
      </c>
      <c r="B656">
        <v>17.73</v>
      </c>
      <c r="C656" t="s">
        <v>1655</v>
      </c>
      <c r="E656" t="s">
        <v>23</v>
      </c>
      <c r="F656" t="s">
        <v>28</v>
      </c>
      <c r="G656">
        <v>2010</v>
      </c>
      <c r="H656" t="s">
        <v>1656</v>
      </c>
      <c r="K656" t="s">
        <v>25</v>
      </c>
      <c r="L656" t="s">
        <v>30</v>
      </c>
      <c r="M656" t="b">
        <v>1</v>
      </c>
      <c r="N656" t="s">
        <v>1657</v>
      </c>
      <c r="P656" t="s">
        <v>1658</v>
      </c>
      <c r="Q656" t="b">
        <v>1</v>
      </c>
      <c r="T656" t="str">
        <f>"9780310870555"</f>
        <v>9780310870555</v>
      </c>
      <c r="U656" t="b">
        <v>0</v>
      </c>
      <c r="W656" t="b">
        <v>0</v>
      </c>
    </row>
    <row r="657" spans="1:23" x14ac:dyDescent="0.3">
      <c r="A657">
        <v>2982901</v>
      </c>
      <c r="B657">
        <v>35.5</v>
      </c>
      <c r="C657" t="s">
        <v>1659</v>
      </c>
      <c r="D657" t="s">
        <v>1660</v>
      </c>
      <c r="E657" t="s">
        <v>23</v>
      </c>
      <c r="F657" t="s">
        <v>28</v>
      </c>
      <c r="G657">
        <v>2010</v>
      </c>
      <c r="H657" t="s">
        <v>34</v>
      </c>
      <c r="K657" t="s">
        <v>25</v>
      </c>
      <c r="L657" t="s">
        <v>30</v>
      </c>
      <c r="M657" t="b">
        <v>1</v>
      </c>
      <c r="N657" t="s">
        <v>1661</v>
      </c>
      <c r="P657" t="s">
        <v>1662</v>
      </c>
      <c r="Q657" t="b">
        <v>1</v>
      </c>
      <c r="T657" t="str">
        <f>"9780310870357"</f>
        <v>9780310870357</v>
      </c>
      <c r="U657" t="b">
        <v>0</v>
      </c>
      <c r="W657" t="b">
        <v>0</v>
      </c>
    </row>
    <row r="658" spans="1:23" x14ac:dyDescent="0.3">
      <c r="A658">
        <v>2982900</v>
      </c>
      <c r="B658">
        <v>42.61</v>
      </c>
      <c r="C658" t="s">
        <v>1663</v>
      </c>
      <c r="D658" t="s">
        <v>1664</v>
      </c>
      <c r="E658" t="s">
        <v>23</v>
      </c>
      <c r="F658" t="s">
        <v>28</v>
      </c>
      <c r="G658">
        <v>2018</v>
      </c>
      <c r="H658" t="s">
        <v>168</v>
      </c>
      <c r="K658" t="s">
        <v>25</v>
      </c>
      <c r="L658" t="s">
        <v>26</v>
      </c>
      <c r="M658" t="b">
        <v>1</v>
      </c>
      <c r="N658" t="s">
        <v>419</v>
      </c>
      <c r="Q658" t="b">
        <v>0</v>
      </c>
      <c r="T658" t="str">
        <f>"9780310766865"</f>
        <v>9780310766865</v>
      </c>
      <c r="U658" t="b">
        <v>0</v>
      </c>
      <c r="W658" t="b">
        <v>0</v>
      </c>
    </row>
    <row r="659" spans="1:23" x14ac:dyDescent="0.3">
      <c r="A659">
        <v>2982899</v>
      </c>
      <c r="B659">
        <v>17.73</v>
      </c>
      <c r="C659" t="s">
        <v>1665</v>
      </c>
      <c r="D659" t="s">
        <v>1666</v>
      </c>
      <c r="E659" t="s">
        <v>23</v>
      </c>
      <c r="F659" t="s">
        <v>28</v>
      </c>
      <c r="G659">
        <v>2014</v>
      </c>
      <c r="H659" t="s">
        <v>710</v>
      </c>
      <c r="K659" t="s">
        <v>25</v>
      </c>
      <c r="L659" t="s">
        <v>30</v>
      </c>
      <c r="M659" t="b">
        <v>1</v>
      </c>
      <c r="N659" t="s">
        <v>1667</v>
      </c>
      <c r="P659" t="s">
        <v>1322</v>
      </c>
      <c r="Q659" t="b">
        <v>0</v>
      </c>
      <c r="S659" t="str">
        <f>"9780310746416"</f>
        <v>9780310746416</v>
      </c>
      <c r="T659" t="str">
        <f>"9780310746072"</f>
        <v>9780310746072</v>
      </c>
      <c r="U659" t="b">
        <v>0</v>
      </c>
      <c r="W659" t="b">
        <v>0</v>
      </c>
    </row>
    <row r="660" spans="1:23" x14ac:dyDescent="0.3">
      <c r="A660">
        <v>2982898</v>
      </c>
      <c r="B660">
        <v>27.57</v>
      </c>
      <c r="C660" t="s">
        <v>1668</v>
      </c>
      <c r="D660" t="s">
        <v>1669</v>
      </c>
      <c r="E660" t="s">
        <v>23</v>
      </c>
      <c r="F660" t="s">
        <v>28</v>
      </c>
      <c r="G660">
        <v>2014</v>
      </c>
      <c r="H660" t="s">
        <v>710</v>
      </c>
      <c r="K660" t="s">
        <v>25</v>
      </c>
      <c r="L660" t="s">
        <v>30</v>
      </c>
      <c r="M660" t="b">
        <v>1</v>
      </c>
      <c r="N660" t="s">
        <v>1670</v>
      </c>
      <c r="P660" t="s">
        <v>1322</v>
      </c>
      <c r="Q660" t="b">
        <v>0</v>
      </c>
      <c r="S660" t="str">
        <f>"9780310738404"</f>
        <v>9780310738404</v>
      </c>
      <c r="T660" t="str">
        <f>"9780310738411"</f>
        <v>9780310738411</v>
      </c>
      <c r="U660" t="b">
        <v>0</v>
      </c>
      <c r="W660" t="b">
        <v>0</v>
      </c>
    </row>
    <row r="661" spans="1:23" x14ac:dyDescent="0.3">
      <c r="A661">
        <v>2982897</v>
      </c>
      <c r="B661">
        <v>34.47</v>
      </c>
      <c r="C661" t="s">
        <v>1671</v>
      </c>
      <c r="D661" t="s">
        <v>1397</v>
      </c>
      <c r="E661" t="s">
        <v>23</v>
      </c>
      <c r="F661" t="s">
        <v>28</v>
      </c>
      <c r="G661">
        <v>2009</v>
      </c>
      <c r="H661" t="s">
        <v>168</v>
      </c>
      <c r="K661" t="s">
        <v>25</v>
      </c>
      <c r="L661" t="s">
        <v>30</v>
      </c>
      <c r="M661" t="b">
        <v>1</v>
      </c>
      <c r="N661" t="s">
        <v>1338</v>
      </c>
      <c r="P661" t="s">
        <v>84</v>
      </c>
      <c r="Q661" t="b">
        <v>0</v>
      </c>
      <c r="S661" t="str">
        <f>"9780310713487"</f>
        <v>9780310713487</v>
      </c>
      <c r="T661" t="str">
        <f>"9780310569015"</f>
        <v>9780310569015</v>
      </c>
      <c r="U661" t="b">
        <v>0</v>
      </c>
      <c r="W661" t="b">
        <v>0</v>
      </c>
    </row>
    <row r="662" spans="1:23" x14ac:dyDescent="0.3">
      <c r="A662">
        <v>2982896</v>
      </c>
      <c r="B662">
        <v>37.92</v>
      </c>
      <c r="C662" t="s">
        <v>1672</v>
      </c>
      <c r="E662" t="s">
        <v>23</v>
      </c>
      <c r="F662" t="s">
        <v>28</v>
      </c>
      <c r="G662">
        <v>2013</v>
      </c>
      <c r="H662" t="s">
        <v>492</v>
      </c>
      <c r="K662" t="s">
        <v>25</v>
      </c>
      <c r="L662" t="s">
        <v>30</v>
      </c>
      <c r="M662" t="b">
        <v>1</v>
      </c>
      <c r="N662" t="s">
        <v>1352</v>
      </c>
      <c r="P662" t="s">
        <v>1353</v>
      </c>
      <c r="Q662" t="b">
        <v>1</v>
      </c>
      <c r="S662" t="str">
        <f>"9780310737018"</f>
        <v>9780310737018</v>
      </c>
      <c r="T662" t="str">
        <f>"9780310737674"</f>
        <v>9780310737674</v>
      </c>
      <c r="U662" t="b">
        <v>0</v>
      </c>
      <c r="W662" t="b">
        <v>0</v>
      </c>
    </row>
    <row r="663" spans="1:23" x14ac:dyDescent="0.3">
      <c r="A663">
        <v>2982895</v>
      </c>
      <c r="B663">
        <v>17.22</v>
      </c>
      <c r="C663" t="s">
        <v>1673</v>
      </c>
      <c r="D663" t="s">
        <v>138</v>
      </c>
      <c r="E663" t="s">
        <v>23</v>
      </c>
      <c r="F663" t="s">
        <v>28</v>
      </c>
      <c r="G663">
        <v>2010</v>
      </c>
      <c r="H663" t="s">
        <v>144</v>
      </c>
      <c r="K663" t="s">
        <v>25</v>
      </c>
      <c r="L663" t="s">
        <v>30</v>
      </c>
      <c r="M663" t="b">
        <v>1</v>
      </c>
      <c r="N663" t="s">
        <v>1417</v>
      </c>
      <c r="P663" t="s">
        <v>1637</v>
      </c>
      <c r="Q663" t="b">
        <v>0</v>
      </c>
      <c r="S663" t="str">
        <f>"9780310720089"</f>
        <v>9780310720089</v>
      </c>
      <c r="T663" t="str">
        <f>"9780310424703"</f>
        <v>9780310424703</v>
      </c>
      <c r="U663" t="b">
        <v>0</v>
      </c>
      <c r="W663" t="b">
        <v>0</v>
      </c>
    </row>
    <row r="664" spans="1:23" x14ac:dyDescent="0.3">
      <c r="A664">
        <v>2982894</v>
      </c>
      <c r="B664">
        <v>55.17</v>
      </c>
      <c r="C664" t="s">
        <v>1674</v>
      </c>
      <c r="D664" t="s">
        <v>1675</v>
      </c>
      <c r="E664" t="s">
        <v>23</v>
      </c>
      <c r="F664" t="s">
        <v>28</v>
      </c>
      <c r="G664">
        <v>2010</v>
      </c>
      <c r="H664" t="s">
        <v>1367</v>
      </c>
      <c r="K664" t="s">
        <v>25</v>
      </c>
      <c r="L664" t="s">
        <v>30</v>
      </c>
      <c r="M664" t="b">
        <v>1</v>
      </c>
      <c r="N664" t="s">
        <v>1676</v>
      </c>
      <c r="Q664" t="b">
        <v>1</v>
      </c>
      <c r="S664" t="str">
        <f>"9780310714781"</f>
        <v>9780310714781</v>
      </c>
      <c r="T664" t="str">
        <f>"9780310424017"</f>
        <v>9780310424017</v>
      </c>
      <c r="U664" t="b">
        <v>0</v>
      </c>
      <c r="W664" t="b">
        <v>0</v>
      </c>
    </row>
    <row r="665" spans="1:23" x14ac:dyDescent="0.3">
      <c r="A665">
        <v>2982893</v>
      </c>
      <c r="B665">
        <v>44.82</v>
      </c>
      <c r="C665" t="s">
        <v>1677</v>
      </c>
      <c r="D665" t="s">
        <v>1678</v>
      </c>
      <c r="E665" t="s">
        <v>23</v>
      </c>
      <c r="F665" t="s">
        <v>28</v>
      </c>
      <c r="G665">
        <v>2010</v>
      </c>
      <c r="H665" t="s">
        <v>168</v>
      </c>
      <c r="K665" t="s">
        <v>25</v>
      </c>
      <c r="L665" t="s">
        <v>30</v>
      </c>
      <c r="M665" t="b">
        <v>1</v>
      </c>
      <c r="N665" t="s">
        <v>83</v>
      </c>
      <c r="P665" t="s">
        <v>84</v>
      </c>
      <c r="Q665" t="b">
        <v>0</v>
      </c>
      <c r="S665" t="str">
        <f>"9780310714750"</f>
        <v>9780310714750</v>
      </c>
      <c r="T665" t="str">
        <f>"9780310429296"</f>
        <v>9780310429296</v>
      </c>
      <c r="U665" t="b">
        <v>0</v>
      </c>
      <c r="W665" t="b">
        <v>0</v>
      </c>
    </row>
    <row r="666" spans="1:23" x14ac:dyDescent="0.3">
      <c r="A666">
        <v>2982892</v>
      </c>
      <c r="B666">
        <v>21.29</v>
      </c>
      <c r="C666" t="s">
        <v>1679</v>
      </c>
      <c r="D666" t="s">
        <v>1680</v>
      </c>
      <c r="E666" t="s">
        <v>23</v>
      </c>
      <c r="F666" t="s">
        <v>28</v>
      </c>
      <c r="G666">
        <v>2014</v>
      </c>
      <c r="H666" t="s">
        <v>1681</v>
      </c>
      <c r="K666" t="s">
        <v>25</v>
      </c>
      <c r="L666" t="s">
        <v>30</v>
      </c>
      <c r="M666" t="b">
        <v>1</v>
      </c>
      <c r="N666" t="s">
        <v>1682</v>
      </c>
      <c r="P666" t="s">
        <v>1322</v>
      </c>
      <c r="Q666" t="b">
        <v>0</v>
      </c>
      <c r="S666" t="str">
        <f>"9780310738367"</f>
        <v>9780310738367</v>
      </c>
      <c r="T666" t="str">
        <f>"9780310738374"</f>
        <v>9780310738374</v>
      </c>
      <c r="U666" t="b">
        <v>0</v>
      </c>
      <c r="W666" t="b">
        <v>0</v>
      </c>
    </row>
    <row r="667" spans="1:23" x14ac:dyDescent="0.3">
      <c r="A667">
        <v>2982891</v>
      </c>
      <c r="B667">
        <v>24.12</v>
      </c>
      <c r="C667" t="s">
        <v>1683</v>
      </c>
      <c r="D667" t="s">
        <v>1684</v>
      </c>
      <c r="E667" t="s">
        <v>23</v>
      </c>
      <c r="F667" t="s">
        <v>28</v>
      </c>
      <c r="G667">
        <v>2020</v>
      </c>
      <c r="H667" t="s">
        <v>41</v>
      </c>
      <c r="K667" t="s">
        <v>25</v>
      </c>
      <c r="L667" t="s">
        <v>26</v>
      </c>
      <c r="M667" t="b">
        <v>1</v>
      </c>
      <c r="N667" t="s">
        <v>35</v>
      </c>
      <c r="P667" t="s">
        <v>36</v>
      </c>
      <c r="Q667" t="b">
        <v>1</v>
      </c>
      <c r="S667" t="str">
        <f>"9780310768067"</f>
        <v>9780310768067</v>
      </c>
      <c r="T667" t="str">
        <f>"9780310768098"</f>
        <v>9780310768098</v>
      </c>
      <c r="U667" t="b">
        <v>0</v>
      </c>
      <c r="W667" t="b">
        <v>0</v>
      </c>
    </row>
    <row r="668" spans="1:23" x14ac:dyDescent="0.3">
      <c r="A668">
        <v>2982889</v>
      </c>
      <c r="B668">
        <v>35.5</v>
      </c>
      <c r="C668" t="s">
        <v>1685</v>
      </c>
      <c r="D668" t="s">
        <v>1686</v>
      </c>
      <c r="E668" t="s">
        <v>23</v>
      </c>
      <c r="F668" t="s">
        <v>28</v>
      </c>
      <c r="G668">
        <v>2016</v>
      </c>
      <c r="H668" t="s">
        <v>640</v>
      </c>
      <c r="K668" t="s">
        <v>25</v>
      </c>
      <c r="L668" t="s">
        <v>26</v>
      </c>
      <c r="M668" t="b">
        <v>1</v>
      </c>
      <c r="N668" t="s">
        <v>44</v>
      </c>
      <c r="P668" t="s">
        <v>84</v>
      </c>
      <c r="Q668" t="b">
        <v>0</v>
      </c>
      <c r="T668" t="str">
        <f>"9780310758747"</f>
        <v>9780310758747</v>
      </c>
      <c r="U668" t="b">
        <v>0</v>
      </c>
      <c r="W668" t="b">
        <v>0</v>
      </c>
    </row>
    <row r="669" spans="1:23" x14ac:dyDescent="0.3">
      <c r="A669">
        <v>2982888</v>
      </c>
      <c r="B669">
        <v>51.72</v>
      </c>
      <c r="C669" t="s">
        <v>1687</v>
      </c>
      <c r="E669" t="s">
        <v>23</v>
      </c>
      <c r="F669" t="s">
        <v>28</v>
      </c>
      <c r="G669">
        <v>2015</v>
      </c>
      <c r="H669" t="s">
        <v>1652</v>
      </c>
      <c r="K669" t="s">
        <v>25</v>
      </c>
      <c r="L669" t="s">
        <v>30</v>
      </c>
      <c r="M669" t="b">
        <v>1</v>
      </c>
      <c r="N669" t="s">
        <v>1688</v>
      </c>
      <c r="P669" t="s">
        <v>1654</v>
      </c>
      <c r="Q669" t="b">
        <v>1</v>
      </c>
      <c r="S669" t="str">
        <f>"9780310747475"</f>
        <v>9780310747475</v>
      </c>
      <c r="T669" t="str">
        <f>"9780310748076"</f>
        <v>9780310748076</v>
      </c>
      <c r="U669" t="b">
        <v>0</v>
      </c>
      <c r="W669" t="b">
        <v>0</v>
      </c>
    </row>
    <row r="670" spans="1:23" x14ac:dyDescent="0.3">
      <c r="A670">
        <v>2982887</v>
      </c>
      <c r="B670">
        <v>17.22</v>
      </c>
      <c r="C670" t="s">
        <v>1689</v>
      </c>
      <c r="D670" t="s">
        <v>143</v>
      </c>
      <c r="E670" t="s">
        <v>23</v>
      </c>
      <c r="F670" t="s">
        <v>28</v>
      </c>
      <c r="G670">
        <v>2011</v>
      </c>
      <c r="H670" t="s">
        <v>34</v>
      </c>
      <c r="K670" t="s">
        <v>25</v>
      </c>
      <c r="L670" t="s">
        <v>30</v>
      </c>
      <c r="M670" t="b">
        <v>1</v>
      </c>
      <c r="N670" t="s">
        <v>1690</v>
      </c>
      <c r="P670" t="s">
        <v>1691</v>
      </c>
      <c r="Q670" t="b">
        <v>1</v>
      </c>
      <c r="S670" t="str">
        <f>"9780310716044"</f>
        <v>9780310716044</v>
      </c>
      <c r="T670" t="str">
        <f>"9780310868774"</f>
        <v>9780310868774</v>
      </c>
      <c r="U670" t="b">
        <v>0</v>
      </c>
      <c r="W670" t="b">
        <v>0</v>
      </c>
    </row>
    <row r="671" spans="1:23" x14ac:dyDescent="0.3">
      <c r="A671">
        <v>2982886</v>
      </c>
      <c r="B671">
        <v>63.93</v>
      </c>
      <c r="C671" t="s">
        <v>1692</v>
      </c>
      <c r="E671" t="s">
        <v>23</v>
      </c>
      <c r="F671" t="s">
        <v>28</v>
      </c>
      <c r="G671">
        <v>2015</v>
      </c>
      <c r="H671" t="s">
        <v>230</v>
      </c>
      <c r="K671" t="s">
        <v>25</v>
      </c>
      <c r="L671" t="s">
        <v>30</v>
      </c>
      <c r="M671" t="b">
        <v>1</v>
      </c>
      <c r="N671" t="s">
        <v>1553</v>
      </c>
      <c r="P671" t="s">
        <v>1554</v>
      </c>
      <c r="Q671" t="b">
        <v>1</v>
      </c>
      <c r="T671" t="str">
        <f>"9780310753339"</f>
        <v>9780310753339</v>
      </c>
      <c r="U671" t="b">
        <v>0</v>
      </c>
      <c r="W671" t="b">
        <v>0</v>
      </c>
    </row>
    <row r="672" spans="1:23" x14ac:dyDescent="0.3">
      <c r="A672">
        <v>2982885</v>
      </c>
      <c r="B672">
        <v>17.22</v>
      </c>
      <c r="C672" t="s">
        <v>1693</v>
      </c>
      <c r="E672" t="s">
        <v>23</v>
      </c>
      <c r="F672" t="s">
        <v>28</v>
      </c>
      <c r="G672">
        <v>2019</v>
      </c>
      <c r="H672" t="s">
        <v>1694</v>
      </c>
      <c r="K672" t="s">
        <v>25</v>
      </c>
      <c r="L672" t="s">
        <v>26</v>
      </c>
      <c r="M672" t="b">
        <v>1</v>
      </c>
      <c r="N672" t="s">
        <v>1695</v>
      </c>
      <c r="Q672" t="b">
        <v>0</v>
      </c>
      <c r="S672" t="str">
        <f>"9780310767084"</f>
        <v>9780310767084</v>
      </c>
      <c r="T672" t="str">
        <f>"9780310767091"</f>
        <v>9780310767091</v>
      </c>
      <c r="U672" t="b">
        <v>0</v>
      </c>
      <c r="W672" t="b">
        <v>0</v>
      </c>
    </row>
    <row r="673" spans="1:23" x14ac:dyDescent="0.3">
      <c r="A673">
        <v>2982884</v>
      </c>
      <c r="B673">
        <v>58.62</v>
      </c>
      <c r="C673" t="s">
        <v>1696</v>
      </c>
      <c r="E673" t="s">
        <v>23</v>
      </c>
      <c r="F673" t="s">
        <v>28</v>
      </c>
      <c r="G673">
        <v>2019</v>
      </c>
      <c r="H673" t="s">
        <v>707</v>
      </c>
      <c r="K673" t="s">
        <v>25</v>
      </c>
      <c r="L673" t="s">
        <v>26</v>
      </c>
      <c r="M673" t="b">
        <v>1</v>
      </c>
      <c r="N673" t="s">
        <v>1697</v>
      </c>
      <c r="P673" t="s">
        <v>1698</v>
      </c>
      <c r="Q673" t="b">
        <v>1</v>
      </c>
      <c r="S673" t="str">
        <f>"9780310767435"</f>
        <v>9780310767435</v>
      </c>
      <c r="T673" t="str">
        <f>"9780310767374"</f>
        <v>9780310767374</v>
      </c>
      <c r="U673" t="b">
        <v>0</v>
      </c>
      <c r="W673" t="b">
        <v>0</v>
      </c>
    </row>
    <row r="674" spans="1:23" x14ac:dyDescent="0.3">
      <c r="A674">
        <v>2982883</v>
      </c>
      <c r="B674">
        <v>17.22</v>
      </c>
      <c r="C674" t="s">
        <v>1699</v>
      </c>
      <c r="D674" t="s">
        <v>138</v>
      </c>
      <c r="E674" t="s">
        <v>23</v>
      </c>
      <c r="F674" t="s">
        <v>28</v>
      </c>
      <c r="G674">
        <v>2011</v>
      </c>
      <c r="H674" t="s">
        <v>144</v>
      </c>
      <c r="K674" t="s">
        <v>25</v>
      </c>
      <c r="L674" t="s">
        <v>30</v>
      </c>
      <c r="M674" t="b">
        <v>1</v>
      </c>
      <c r="N674" t="s">
        <v>44</v>
      </c>
      <c r="P674" t="s">
        <v>1637</v>
      </c>
      <c r="Q674" t="b">
        <v>0</v>
      </c>
      <c r="S674" t="str">
        <f>"9780310721895"</f>
        <v>9780310721895</v>
      </c>
      <c r="T674" t="str">
        <f>"9780310410133"</f>
        <v>9780310410133</v>
      </c>
      <c r="U674" t="b">
        <v>0</v>
      </c>
      <c r="W674" t="b">
        <v>0</v>
      </c>
    </row>
    <row r="675" spans="1:23" x14ac:dyDescent="0.3">
      <c r="A675">
        <v>2982882</v>
      </c>
      <c r="B675">
        <v>35.5</v>
      </c>
      <c r="C675" t="s">
        <v>1700</v>
      </c>
      <c r="D675" t="s">
        <v>1701</v>
      </c>
      <c r="E675" t="s">
        <v>23</v>
      </c>
      <c r="F675" t="s">
        <v>28</v>
      </c>
      <c r="G675">
        <v>2012</v>
      </c>
      <c r="H675" t="s">
        <v>1702</v>
      </c>
      <c r="K675" t="s">
        <v>25</v>
      </c>
      <c r="L675" t="s">
        <v>30</v>
      </c>
      <c r="M675" t="b">
        <v>1</v>
      </c>
      <c r="N675" t="s">
        <v>1703</v>
      </c>
      <c r="Q675" t="b">
        <v>1</v>
      </c>
      <c r="S675" t="str">
        <f>"9780310733331"</f>
        <v>9780310733331</v>
      </c>
      <c r="T675" t="str">
        <f>"9780310733355"</f>
        <v>9780310733355</v>
      </c>
      <c r="U675" t="b">
        <v>0</v>
      </c>
      <c r="W675" t="b">
        <v>0</v>
      </c>
    </row>
    <row r="676" spans="1:23" x14ac:dyDescent="0.3">
      <c r="A676">
        <v>2982881</v>
      </c>
      <c r="B676">
        <v>17.22</v>
      </c>
      <c r="C676" t="s">
        <v>1704</v>
      </c>
      <c r="E676" t="s">
        <v>23</v>
      </c>
      <c r="F676" t="s">
        <v>28</v>
      </c>
      <c r="G676">
        <v>2015</v>
      </c>
      <c r="H676" t="s">
        <v>1694</v>
      </c>
      <c r="K676" t="s">
        <v>25</v>
      </c>
      <c r="L676" t="s">
        <v>30</v>
      </c>
      <c r="M676" t="b">
        <v>1</v>
      </c>
      <c r="N676" t="s">
        <v>44</v>
      </c>
      <c r="Q676" t="b">
        <v>0</v>
      </c>
      <c r="S676" t="str">
        <f>"9780310750574"</f>
        <v>9780310750574</v>
      </c>
      <c r="T676" t="str">
        <f>"9780310750499"</f>
        <v>9780310750499</v>
      </c>
      <c r="U676" t="b">
        <v>0</v>
      </c>
      <c r="W676" t="b">
        <v>0</v>
      </c>
    </row>
    <row r="677" spans="1:23" x14ac:dyDescent="0.3">
      <c r="A677">
        <v>2982880</v>
      </c>
      <c r="B677">
        <v>17.22</v>
      </c>
      <c r="C677" t="s">
        <v>260</v>
      </c>
      <c r="D677" t="s">
        <v>93</v>
      </c>
      <c r="E677" t="s">
        <v>23</v>
      </c>
      <c r="F677" t="s">
        <v>28</v>
      </c>
      <c r="G677">
        <v>2010</v>
      </c>
      <c r="H677" t="s">
        <v>243</v>
      </c>
      <c r="K677" t="s">
        <v>25</v>
      </c>
      <c r="L677" t="s">
        <v>30</v>
      </c>
      <c r="M677" t="b">
        <v>1</v>
      </c>
      <c r="N677" t="s">
        <v>1705</v>
      </c>
      <c r="P677" t="s">
        <v>1706</v>
      </c>
      <c r="Q677" t="b">
        <v>1</v>
      </c>
      <c r="S677" t="str">
        <f>"9780310716198"</f>
        <v>9780310716198</v>
      </c>
      <c r="T677" t="str">
        <f>"9780310876540"</f>
        <v>9780310876540</v>
      </c>
      <c r="U677" t="b">
        <v>0</v>
      </c>
      <c r="W677" t="b">
        <v>0</v>
      </c>
    </row>
    <row r="678" spans="1:23" x14ac:dyDescent="0.3">
      <c r="A678">
        <v>2982879</v>
      </c>
      <c r="B678">
        <v>27.57</v>
      </c>
      <c r="C678" t="s">
        <v>1707</v>
      </c>
      <c r="E678" t="s">
        <v>23</v>
      </c>
      <c r="F678" t="s">
        <v>28</v>
      </c>
      <c r="G678">
        <v>2014</v>
      </c>
      <c r="H678" t="s">
        <v>716</v>
      </c>
      <c r="K678" t="s">
        <v>25</v>
      </c>
      <c r="L678" t="s">
        <v>30</v>
      </c>
      <c r="M678" t="b">
        <v>1</v>
      </c>
      <c r="N678" t="s">
        <v>1708</v>
      </c>
      <c r="P678" t="s">
        <v>1709</v>
      </c>
      <c r="Q678" t="b">
        <v>1</v>
      </c>
      <c r="S678" t="str">
        <f>"9780310742999"</f>
        <v>9780310742999</v>
      </c>
      <c r="T678" t="str">
        <f>"9780310742852"</f>
        <v>9780310742852</v>
      </c>
      <c r="U678" t="b">
        <v>0</v>
      </c>
      <c r="W678" t="b">
        <v>0</v>
      </c>
    </row>
    <row r="679" spans="1:23" x14ac:dyDescent="0.3">
      <c r="A679">
        <v>2982878</v>
      </c>
      <c r="B679">
        <v>28.39</v>
      </c>
      <c r="C679" t="s">
        <v>1710</v>
      </c>
      <c r="E679" t="s">
        <v>23</v>
      </c>
      <c r="F679" t="s">
        <v>28</v>
      </c>
      <c r="G679">
        <v>2014</v>
      </c>
      <c r="H679" t="s">
        <v>1351</v>
      </c>
      <c r="K679" t="s">
        <v>25</v>
      </c>
      <c r="L679" t="s">
        <v>30</v>
      </c>
      <c r="M679" t="b">
        <v>1</v>
      </c>
      <c r="N679" t="s">
        <v>1352</v>
      </c>
      <c r="P679" t="s">
        <v>1353</v>
      </c>
      <c r="Q679" t="b">
        <v>1</v>
      </c>
      <c r="T679" t="str">
        <f>"9780310737681"</f>
        <v>9780310737681</v>
      </c>
      <c r="U679" t="b">
        <v>0</v>
      </c>
      <c r="W679" t="b">
        <v>0</v>
      </c>
    </row>
    <row r="680" spans="1:23" x14ac:dyDescent="0.3">
      <c r="A680">
        <v>2982877</v>
      </c>
      <c r="B680">
        <v>27.57</v>
      </c>
      <c r="C680" t="s">
        <v>1711</v>
      </c>
      <c r="E680" t="s">
        <v>23</v>
      </c>
      <c r="F680" t="s">
        <v>28</v>
      </c>
      <c r="G680">
        <v>2011</v>
      </c>
      <c r="H680" t="s">
        <v>1337</v>
      </c>
      <c r="K680" t="s">
        <v>25</v>
      </c>
      <c r="L680" t="s">
        <v>30</v>
      </c>
      <c r="M680" t="b">
        <v>1</v>
      </c>
      <c r="N680" t="s">
        <v>1338</v>
      </c>
      <c r="P680" t="s">
        <v>1339</v>
      </c>
      <c r="Q680" t="b">
        <v>1</v>
      </c>
      <c r="S680" t="str">
        <f>"9780310720935"</f>
        <v>9780310720935</v>
      </c>
      <c r="T680" t="str">
        <f>"9780310399643"</f>
        <v>9780310399643</v>
      </c>
      <c r="U680" t="b">
        <v>0</v>
      </c>
      <c r="W680" t="b">
        <v>0</v>
      </c>
    </row>
    <row r="681" spans="1:23" x14ac:dyDescent="0.3">
      <c r="A681">
        <v>2982876</v>
      </c>
      <c r="B681">
        <v>55.17</v>
      </c>
      <c r="C681" t="s">
        <v>1712</v>
      </c>
      <c r="D681" t="s">
        <v>1570</v>
      </c>
      <c r="E681" t="s">
        <v>23</v>
      </c>
      <c r="F681" t="s">
        <v>28</v>
      </c>
      <c r="G681">
        <v>2018</v>
      </c>
      <c r="H681" t="s">
        <v>168</v>
      </c>
      <c r="K681" t="s">
        <v>25</v>
      </c>
      <c r="L681" t="s">
        <v>26</v>
      </c>
      <c r="M681" t="b">
        <v>1</v>
      </c>
      <c r="N681" t="s">
        <v>44</v>
      </c>
      <c r="P681" t="s">
        <v>234</v>
      </c>
      <c r="Q681" t="b">
        <v>0</v>
      </c>
      <c r="S681" t="str">
        <f>"9780310765004"</f>
        <v>9780310765004</v>
      </c>
      <c r="T681" t="str">
        <f>"9780310765073"</f>
        <v>9780310765073</v>
      </c>
      <c r="U681" t="b">
        <v>0</v>
      </c>
      <c r="W681" t="b">
        <v>0</v>
      </c>
    </row>
    <row r="682" spans="1:23" x14ac:dyDescent="0.3">
      <c r="A682">
        <v>2982875</v>
      </c>
      <c r="B682">
        <v>17.22</v>
      </c>
      <c r="C682" t="s">
        <v>1713</v>
      </c>
      <c r="D682" t="s">
        <v>93</v>
      </c>
      <c r="E682" t="s">
        <v>23</v>
      </c>
      <c r="F682" t="s">
        <v>28</v>
      </c>
      <c r="G682">
        <v>2009</v>
      </c>
      <c r="H682" t="s">
        <v>34</v>
      </c>
      <c r="K682" t="s">
        <v>25</v>
      </c>
      <c r="L682" t="s">
        <v>26</v>
      </c>
      <c r="M682" t="b">
        <v>1</v>
      </c>
      <c r="N682" t="s">
        <v>480</v>
      </c>
      <c r="P682" t="s">
        <v>1519</v>
      </c>
      <c r="Q682" t="b">
        <v>1</v>
      </c>
      <c r="S682" t="str">
        <f>"9780310717058"</f>
        <v>9780310717058</v>
      </c>
      <c r="T682" t="str">
        <f>"9780310868927"</f>
        <v>9780310868927</v>
      </c>
      <c r="U682" t="b">
        <v>0</v>
      </c>
      <c r="W682" t="b">
        <v>0</v>
      </c>
    </row>
    <row r="683" spans="1:23" x14ac:dyDescent="0.3">
      <c r="A683">
        <v>2982874</v>
      </c>
      <c r="B683">
        <v>58.62</v>
      </c>
      <c r="C683" t="s">
        <v>1714</v>
      </c>
      <c r="D683" t="s">
        <v>1715</v>
      </c>
      <c r="E683" t="s">
        <v>23</v>
      </c>
      <c r="F683" t="s">
        <v>28</v>
      </c>
      <c r="G683">
        <v>2021</v>
      </c>
      <c r="H683" t="s">
        <v>168</v>
      </c>
      <c r="K683" t="s">
        <v>25</v>
      </c>
      <c r="L683" t="s">
        <v>26</v>
      </c>
      <c r="M683" t="b">
        <v>1</v>
      </c>
      <c r="N683" t="s">
        <v>1398</v>
      </c>
      <c r="Q683" t="b">
        <v>0</v>
      </c>
      <c r="S683" t="str">
        <f>"9780310120490"</f>
        <v>9780310120490</v>
      </c>
      <c r="T683" t="str">
        <f>"9780310120513"</f>
        <v>9780310120513</v>
      </c>
      <c r="U683" t="b">
        <v>0</v>
      </c>
      <c r="W683" t="b">
        <v>0</v>
      </c>
    </row>
    <row r="684" spans="1:23" x14ac:dyDescent="0.3">
      <c r="A684">
        <v>2982873</v>
      </c>
      <c r="B684">
        <v>21.29</v>
      </c>
      <c r="C684" t="s">
        <v>1716</v>
      </c>
      <c r="E684" t="s">
        <v>23</v>
      </c>
      <c r="F684" t="s">
        <v>28</v>
      </c>
      <c r="G684">
        <v>2015</v>
      </c>
      <c r="H684" t="s">
        <v>91</v>
      </c>
      <c r="K684" t="s">
        <v>25</v>
      </c>
      <c r="L684" t="s">
        <v>30</v>
      </c>
      <c r="M684" t="b">
        <v>1</v>
      </c>
      <c r="N684" t="s">
        <v>39</v>
      </c>
      <c r="P684" t="s">
        <v>36</v>
      </c>
      <c r="Q684" t="b">
        <v>0</v>
      </c>
      <c r="S684" t="str">
        <f>"9780310749417"</f>
        <v>9780310749417</v>
      </c>
      <c r="T684" t="str">
        <f>"9780310749226"</f>
        <v>9780310749226</v>
      </c>
      <c r="U684" t="b">
        <v>0</v>
      </c>
      <c r="W684" t="b">
        <v>0</v>
      </c>
    </row>
    <row r="685" spans="1:23" x14ac:dyDescent="0.3">
      <c r="A685">
        <v>2982872</v>
      </c>
      <c r="B685">
        <v>3.52</v>
      </c>
      <c r="C685" t="s">
        <v>1717</v>
      </c>
      <c r="D685" t="s">
        <v>203</v>
      </c>
      <c r="E685" t="s">
        <v>23</v>
      </c>
      <c r="F685" t="s">
        <v>28</v>
      </c>
      <c r="G685">
        <v>2020</v>
      </c>
      <c r="H685" t="s">
        <v>204</v>
      </c>
      <c r="I685" t="s">
        <v>1718</v>
      </c>
      <c r="J685" t="s">
        <v>1719</v>
      </c>
      <c r="K685" t="s">
        <v>25</v>
      </c>
      <c r="L685" t="s">
        <v>26</v>
      </c>
      <c r="M685" t="b">
        <v>1</v>
      </c>
      <c r="N685" t="s">
        <v>205</v>
      </c>
      <c r="O685" t="str">
        <f>"782.25/40973"</f>
        <v>782.25/40973</v>
      </c>
      <c r="Q685" t="b">
        <v>0</v>
      </c>
      <c r="T685" t="str">
        <f>"9780310735243"</f>
        <v>9780310735243</v>
      </c>
      <c r="U685" t="b">
        <v>0</v>
      </c>
      <c r="W685" t="b">
        <v>0</v>
      </c>
    </row>
    <row r="686" spans="1:23" x14ac:dyDescent="0.3">
      <c r="A686">
        <v>2982871</v>
      </c>
      <c r="B686">
        <v>24.12</v>
      </c>
      <c r="C686" t="s">
        <v>1720</v>
      </c>
      <c r="E686" t="s">
        <v>23</v>
      </c>
      <c r="F686" t="s">
        <v>28</v>
      </c>
      <c r="G686">
        <v>2010</v>
      </c>
      <c r="H686" t="s">
        <v>714</v>
      </c>
      <c r="K686" t="s">
        <v>25</v>
      </c>
      <c r="L686" t="s">
        <v>30</v>
      </c>
      <c r="M686" t="b">
        <v>1</v>
      </c>
      <c r="N686" t="s">
        <v>1721</v>
      </c>
      <c r="P686" t="s">
        <v>1722</v>
      </c>
      <c r="Q686" t="b">
        <v>1</v>
      </c>
      <c r="S686" t="str">
        <f>"9780310709435"</f>
        <v>9780310709435</v>
      </c>
      <c r="T686" t="str">
        <f>"9780310865827"</f>
        <v>9780310865827</v>
      </c>
      <c r="U686" t="b">
        <v>0</v>
      </c>
      <c r="W686" t="b">
        <v>0</v>
      </c>
    </row>
    <row r="687" spans="1:23" x14ac:dyDescent="0.3">
      <c r="A687">
        <v>2982870</v>
      </c>
      <c r="B687">
        <v>17.73</v>
      </c>
      <c r="C687" t="s">
        <v>1723</v>
      </c>
      <c r="E687" t="s">
        <v>23</v>
      </c>
      <c r="F687" t="s">
        <v>28</v>
      </c>
      <c r="G687">
        <v>2009</v>
      </c>
      <c r="H687" t="s">
        <v>718</v>
      </c>
      <c r="K687" t="s">
        <v>25</v>
      </c>
      <c r="L687" t="s">
        <v>30</v>
      </c>
      <c r="M687" t="b">
        <v>1</v>
      </c>
      <c r="N687" t="s">
        <v>408</v>
      </c>
      <c r="P687" t="s">
        <v>1587</v>
      </c>
      <c r="Q687" t="b">
        <v>1</v>
      </c>
      <c r="T687" t="str">
        <f>"9780310855743"</f>
        <v>9780310855743</v>
      </c>
      <c r="U687" t="b">
        <v>0</v>
      </c>
      <c r="W687" t="b">
        <v>0</v>
      </c>
    </row>
    <row r="688" spans="1:23" x14ac:dyDescent="0.3">
      <c r="A688">
        <v>2982869</v>
      </c>
      <c r="B688">
        <v>17.73</v>
      </c>
      <c r="C688" t="s">
        <v>1724</v>
      </c>
      <c r="E688" t="s">
        <v>23</v>
      </c>
      <c r="F688" t="s">
        <v>28</v>
      </c>
      <c r="G688">
        <v>2009</v>
      </c>
      <c r="H688" t="s">
        <v>718</v>
      </c>
      <c r="K688" t="s">
        <v>25</v>
      </c>
      <c r="L688" t="s">
        <v>30</v>
      </c>
      <c r="M688" t="b">
        <v>1</v>
      </c>
      <c r="N688" t="s">
        <v>408</v>
      </c>
      <c r="P688" t="s">
        <v>1587</v>
      </c>
      <c r="Q688" t="b">
        <v>1</v>
      </c>
      <c r="T688" t="str">
        <f>"9780310855866"</f>
        <v>9780310855866</v>
      </c>
      <c r="U688" t="b">
        <v>0</v>
      </c>
      <c r="W688" t="b">
        <v>0</v>
      </c>
    </row>
    <row r="689" spans="1:23" x14ac:dyDescent="0.3">
      <c r="A689">
        <v>2982868</v>
      </c>
      <c r="B689">
        <v>17.73</v>
      </c>
      <c r="C689" t="s">
        <v>1725</v>
      </c>
      <c r="E689" t="s">
        <v>23</v>
      </c>
      <c r="F689" t="s">
        <v>28</v>
      </c>
      <c r="G689">
        <v>2009</v>
      </c>
      <c r="H689" t="s">
        <v>718</v>
      </c>
      <c r="K689" t="s">
        <v>25</v>
      </c>
      <c r="L689" t="s">
        <v>30</v>
      </c>
      <c r="M689" t="b">
        <v>1</v>
      </c>
      <c r="N689" t="s">
        <v>1378</v>
      </c>
      <c r="P689" t="s">
        <v>1379</v>
      </c>
      <c r="Q689" t="b">
        <v>1</v>
      </c>
      <c r="T689" t="str">
        <f>"9780310866718"</f>
        <v>9780310866718</v>
      </c>
      <c r="U689" t="b">
        <v>0</v>
      </c>
      <c r="W689" t="b">
        <v>0</v>
      </c>
    </row>
    <row r="690" spans="1:23" x14ac:dyDescent="0.3">
      <c r="A690">
        <v>2982867</v>
      </c>
      <c r="B690">
        <v>27.57</v>
      </c>
      <c r="C690" t="s">
        <v>1726</v>
      </c>
      <c r="E690" t="s">
        <v>23</v>
      </c>
      <c r="F690" t="s">
        <v>28</v>
      </c>
      <c r="G690">
        <v>2014</v>
      </c>
      <c r="H690" t="s">
        <v>1656</v>
      </c>
      <c r="K690" t="s">
        <v>25</v>
      </c>
      <c r="L690" t="s">
        <v>30</v>
      </c>
      <c r="M690" t="b">
        <v>1</v>
      </c>
      <c r="N690" t="s">
        <v>1708</v>
      </c>
      <c r="P690" t="s">
        <v>1709</v>
      </c>
      <c r="Q690" t="b">
        <v>1</v>
      </c>
      <c r="S690" t="str">
        <f>"9780310742944"</f>
        <v>9780310742944</v>
      </c>
      <c r="T690" t="str">
        <f>"9780310742845"</f>
        <v>9780310742845</v>
      </c>
      <c r="U690" t="b">
        <v>0</v>
      </c>
      <c r="W690" t="b">
        <v>0</v>
      </c>
    </row>
    <row r="691" spans="1:23" x14ac:dyDescent="0.3">
      <c r="A691">
        <v>2982866</v>
      </c>
      <c r="B691">
        <v>31.02</v>
      </c>
      <c r="C691" t="s">
        <v>1727</v>
      </c>
      <c r="E691" t="s">
        <v>23</v>
      </c>
      <c r="F691" t="s">
        <v>28</v>
      </c>
      <c r="G691">
        <v>2017</v>
      </c>
      <c r="H691" t="s">
        <v>1728</v>
      </c>
      <c r="K691" t="s">
        <v>25</v>
      </c>
      <c r="L691" t="s">
        <v>26</v>
      </c>
      <c r="M691" t="b">
        <v>1</v>
      </c>
      <c r="N691" t="s">
        <v>1729</v>
      </c>
      <c r="P691" t="s">
        <v>1730</v>
      </c>
      <c r="Q691" t="b">
        <v>1</v>
      </c>
      <c r="S691" t="str">
        <f>"9780310760597"</f>
        <v>9780310760597</v>
      </c>
      <c r="T691" t="str">
        <f>"9780310760580"</f>
        <v>9780310760580</v>
      </c>
      <c r="U691" t="b">
        <v>0</v>
      </c>
      <c r="W691" t="b">
        <v>0</v>
      </c>
    </row>
    <row r="692" spans="1:23" x14ac:dyDescent="0.3">
      <c r="A692">
        <v>2982865</v>
      </c>
      <c r="B692">
        <v>17.73</v>
      </c>
      <c r="C692" t="s">
        <v>1731</v>
      </c>
      <c r="E692" t="s">
        <v>23</v>
      </c>
      <c r="F692" t="s">
        <v>28</v>
      </c>
      <c r="G692">
        <v>2009</v>
      </c>
      <c r="H692" t="s">
        <v>1732</v>
      </c>
      <c r="K692" t="s">
        <v>25</v>
      </c>
      <c r="L692" t="s">
        <v>30</v>
      </c>
      <c r="M692" t="b">
        <v>1</v>
      </c>
      <c r="N692" t="s">
        <v>1504</v>
      </c>
      <c r="P692" s="1">
        <v>0.11944444444444445</v>
      </c>
      <c r="Q692" t="b">
        <v>0</v>
      </c>
      <c r="T692" t="str">
        <f>"9780310866312"</f>
        <v>9780310866312</v>
      </c>
      <c r="U692" t="b">
        <v>0</v>
      </c>
      <c r="W692" t="b">
        <v>0</v>
      </c>
    </row>
    <row r="693" spans="1:23" x14ac:dyDescent="0.3">
      <c r="A693">
        <v>2982864</v>
      </c>
      <c r="B693">
        <v>53.27</v>
      </c>
      <c r="C693" t="s">
        <v>1733</v>
      </c>
      <c r="E693" t="s">
        <v>23</v>
      </c>
      <c r="F693" t="s">
        <v>28</v>
      </c>
      <c r="G693">
        <v>2014</v>
      </c>
      <c r="H693" t="s">
        <v>863</v>
      </c>
      <c r="K693" t="s">
        <v>25</v>
      </c>
      <c r="L693" t="s">
        <v>26</v>
      </c>
      <c r="M693" t="b">
        <v>1</v>
      </c>
      <c r="N693" t="s">
        <v>44</v>
      </c>
      <c r="Q693" t="b">
        <v>0</v>
      </c>
      <c r="T693" t="str">
        <f>"9780310726616"</f>
        <v>9780310726616</v>
      </c>
      <c r="U693" t="b">
        <v>0</v>
      </c>
      <c r="W693" t="b">
        <v>0</v>
      </c>
    </row>
    <row r="694" spans="1:23" x14ac:dyDescent="0.3">
      <c r="A694">
        <v>2982863</v>
      </c>
      <c r="B694">
        <v>24.84</v>
      </c>
      <c r="C694" t="s">
        <v>1734</v>
      </c>
      <c r="E694" t="s">
        <v>23</v>
      </c>
      <c r="F694" t="s">
        <v>28</v>
      </c>
      <c r="G694">
        <v>2011</v>
      </c>
      <c r="H694" t="s">
        <v>1376</v>
      </c>
      <c r="K694" t="s">
        <v>25</v>
      </c>
      <c r="L694" t="s">
        <v>30</v>
      </c>
      <c r="M694" t="b">
        <v>1</v>
      </c>
      <c r="N694" t="s">
        <v>28</v>
      </c>
      <c r="Q694" t="b">
        <v>0</v>
      </c>
      <c r="T694" t="str">
        <f>"9780310729853"</f>
        <v>9780310729853</v>
      </c>
      <c r="U694" t="b">
        <v>0</v>
      </c>
      <c r="W694" t="b">
        <v>0</v>
      </c>
    </row>
    <row r="695" spans="1:23" x14ac:dyDescent="0.3">
      <c r="A695">
        <v>2982862</v>
      </c>
      <c r="B695">
        <v>24.84</v>
      </c>
      <c r="C695" t="s">
        <v>1735</v>
      </c>
      <c r="E695" t="s">
        <v>23</v>
      </c>
      <c r="F695" t="s">
        <v>28</v>
      </c>
      <c r="G695">
        <v>2009</v>
      </c>
      <c r="H695" t="s">
        <v>718</v>
      </c>
      <c r="K695" t="s">
        <v>25</v>
      </c>
      <c r="L695" t="s">
        <v>30</v>
      </c>
      <c r="M695" t="b">
        <v>1</v>
      </c>
      <c r="N695" t="s">
        <v>1378</v>
      </c>
      <c r="P695" t="s">
        <v>1379</v>
      </c>
      <c r="Q695" t="b">
        <v>1</v>
      </c>
      <c r="T695" t="str">
        <f>"9780310870609"</f>
        <v>9780310870609</v>
      </c>
      <c r="U695" t="b">
        <v>0</v>
      </c>
      <c r="W695" t="b">
        <v>0</v>
      </c>
    </row>
    <row r="696" spans="1:23" x14ac:dyDescent="0.3">
      <c r="A696">
        <v>2982861</v>
      </c>
      <c r="B696">
        <v>34.47</v>
      </c>
      <c r="C696" t="s">
        <v>1736</v>
      </c>
      <c r="D696" t="s">
        <v>1397</v>
      </c>
      <c r="E696" t="s">
        <v>23</v>
      </c>
      <c r="F696" t="s">
        <v>28</v>
      </c>
      <c r="G696">
        <v>2009</v>
      </c>
      <c r="H696" t="s">
        <v>168</v>
      </c>
      <c r="K696" t="s">
        <v>25</v>
      </c>
      <c r="L696" t="s">
        <v>30</v>
      </c>
      <c r="M696" t="b">
        <v>1</v>
      </c>
      <c r="N696" t="s">
        <v>1398</v>
      </c>
      <c r="P696" t="s">
        <v>84</v>
      </c>
      <c r="Q696" t="b">
        <v>0</v>
      </c>
      <c r="S696" t="str">
        <f>"9780310708995"</f>
        <v>9780310708995</v>
      </c>
      <c r="T696" t="str">
        <f>"9780310546047"</f>
        <v>9780310546047</v>
      </c>
      <c r="U696" t="b">
        <v>0</v>
      </c>
      <c r="W696" t="b">
        <v>0</v>
      </c>
    </row>
    <row r="697" spans="1:23" x14ac:dyDescent="0.3">
      <c r="A697">
        <v>2982860</v>
      </c>
      <c r="B697">
        <v>46.16</v>
      </c>
      <c r="C697" t="s">
        <v>1737</v>
      </c>
      <c r="D697" t="s">
        <v>1738</v>
      </c>
      <c r="E697" t="s">
        <v>23</v>
      </c>
      <c r="F697" t="s">
        <v>28</v>
      </c>
      <c r="G697">
        <v>2010</v>
      </c>
      <c r="H697" t="s">
        <v>252</v>
      </c>
      <c r="K697" t="s">
        <v>25</v>
      </c>
      <c r="L697" t="s">
        <v>30</v>
      </c>
      <c r="M697" t="b">
        <v>1</v>
      </c>
      <c r="N697" t="s">
        <v>1739</v>
      </c>
      <c r="P697" t="s">
        <v>1740</v>
      </c>
      <c r="Q697" t="b">
        <v>0</v>
      </c>
      <c r="T697" t="str">
        <f>"9780310870302"</f>
        <v>9780310870302</v>
      </c>
      <c r="U697" t="b">
        <v>0</v>
      </c>
      <c r="W697" t="b">
        <v>0</v>
      </c>
    </row>
    <row r="698" spans="1:23" x14ac:dyDescent="0.3">
      <c r="A698">
        <v>2982859</v>
      </c>
      <c r="B698">
        <v>17.73</v>
      </c>
      <c r="C698" t="s">
        <v>1741</v>
      </c>
      <c r="E698" t="s">
        <v>23</v>
      </c>
      <c r="F698" t="s">
        <v>28</v>
      </c>
      <c r="G698">
        <v>2009</v>
      </c>
      <c r="H698" t="s">
        <v>718</v>
      </c>
      <c r="K698" t="s">
        <v>25</v>
      </c>
      <c r="L698" t="s">
        <v>30</v>
      </c>
      <c r="M698" t="b">
        <v>1</v>
      </c>
      <c r="N698" t="s">
        <v>408</v>
      </c>
      <c r="P698" t="s">
        <v>1587</v>
      </c>
      <c r="Q698" t="b">
        <v>1</v>
      </c>
      <c r="T698" t="str">
        <f>"9780310855682"</f>
        <v>9780310855682</v>
      </c>
      <c r="U698" t="b">
        <v>0</v>
      </c>
      <c r="W698" t="b">
        <v>0</v>
      </c>
    </row>
    <row r="699" spans="1:23" x14ac:dyDescent="0.3">
      <c r="A699">
        <v>2982858</v>
      </c>
      <c r="B699">
        <v>42.61</v>
      </c>
      <c r="C699" t="s">
        <v>1742</v>
      </c>
      <c r="D699" t="s">
        <v>1743</v>
      </c>
      <c r="E699" t="s">
        <v>23</v>
      </c>
      <c r="F699" t="s">
        <v>28</v>
      </c>
      <c r="G699">
        <v>2010</v>
      </c>
      <c r="H699" t="s">
        <v>265</v>
      </c>
      <c r="K699" t="s">
        <v>25</v>
      </c>
      <c r="L699" t="s">
        <v>30</v>
      </c>
      <c r="M699" t="b">
        <v>1</v>
      </c>
      <c r="N699" t="s">
        <v>1744</v>
      </c>
      <c r="Q699" t="b">
        <v>1</v>
      </c>
      <c r="T699" t="str">
        <f>"9780310866862"</f>
        <v>9780310866862</v>
      </c>
      <c r="U699" t="b">
        <v>0</v>
      </c>
      <c r="W699" t="b">
        <v>0</v>
      </c>
    </row>
    <row r="700" spans="1:23" x14ac:dyDescent="0.3">
      <c r="A700">
        <v>2982857</v>
      </c>
      <c r="B700">
        <v>27.57</v>
      </c>
      <c r="C700" t="s">
        <v>1745</v>
      </c>
      <c r="E700" t="s">
        <v>23</v>
      </c>
      <c r="F700" t="s">
        <v>28</v>
      </c>
      <c r="G700">
        <v>2010</v>
      </c>
      <c r="H700" t="s">
        <v>1746</v>
      </c>
      <c r="K700" t="s">
        <v>25</v>
      </c>
      <c r="L700" t="s">
        <v>30</v>
      </c>
      <c r="M700" t="b">
        <v>1</v>
      </c>
      <c r="N700" t="s">
        <v>1346</v>
      </c>
      <c r="P700" t="s">
        <v>1347</v>
      </c>
      <c r="Q700" t="b">
        <v>1</v>
      </c>
      <c r="S700" t="str">
        <f>"9780310717966"</f>
        <v>9780310717966</v>
      </c>
      <c r="T700" t="str">
        <f>"9780310429364"</f>
        <v>9780310429364</v>
      </c>
      <c r="U700" t="b">
        <v>0</v>
      </c>
      <c r="W700" t="b">
        <v>0</v>
      </c>
    </row>
    <row r="701" spans="1:23" x14ac:dyDescent="0.3">
      <c r="A701">
        <v>2982856</v>
      </c>
      <c r="B701">
        <v>27.57</v>
      </c>
      <c r="C701" t="s">
        <v>1747</v>
      </c>
      <c r="E701" t="s">
        <v>23</v>
      </c>
      <c r="F701" t="s">
        <v>28</v>
      </c>
      <c r="G701">
        <v>2010</v>
      </c>
      <c r="H701" t="s">
        <v>1746</v>
      </c>
      <c r="K701" t="s">
        <v>25</v>
      </c>
      <c r="L701" t="s">
        <v>30</v>
      </c>
      <c r="M701" t="b">
        <v>1</v>
      </c>
      <c r="N701" t="s">
        <v>1346</v>
      </c>
      <c r="P701" t="s">
        <v>1347</v>
      </c>
      <c r="Q701" t="b">
        <v>1</v>
      </c>
      <c r="S701" t="str">
        <f>"9780310717959"</f>
        <v>9780310717959</v>
      </c>
      <c r="T701" t="str">
        <f>"9780310873938"</f>
        <v>9780310873938</v>
      </c>
      <c r="U701" t="b">
        <v>0</v>
      </c>
      <c r="W701" t="b">
        <v>0</v>
      </c>
    </row>
    <row r="702" spans="1:23" x14ac:dyDescent="0.3">
      <c r="A702">
        <v>2982855</v>
      </c>
      <c r="B702">
        <v>51.72</v>
      </c>
      <c r="C702" t="s">
        <v>1748</v>
      </c>
      <c r="D702" t="s">
        <v>1749</v>
      </c>
      <c r="E702" t="s">
        <v>23</v>
      </c>
      <c r="F702" t="s">
        <v>28</v>
      </c>
      <c r="G702">
        <v>2019</v>
      </c>
      <c r="H702" t="s">
        <v>168</v>
      </c>
      <c r="K702" t="s">
        <v>25</v>
      </c>
      <c r="L702" t="s">
        <v>26</v>
      </c>
      <c r="M702" t="b">
        <v>1</v>
      </c>
      <c r="N702" t="s">
        <v>44</v>
      </c>
      <c r="P702" t="s">
        <v>84</v>
      </c>
      <c r="Q702" t="b">
        <v>0</v>
      </c>
      <c r="S702" t="str">
        <f>"9780310763123"</f>
        <v>9780310763123</v>
      </c>
      <c r="T702" t="str">
        <f>"9780310763130"</f>
        <v>9780310763130</v>
      </c>
      <c r="U702" t="b">
        <v>0</v>
      </c>
      <c r="W702" t="b">
        <v>0</v>
      </c>
    </row>
    <row r="703" spans="1:23" x14ac:dyDescent="0.3">
      <c r="A703">
        <v>2982854</v>
      </c>
      <c r="B703">
        <v>17.22</v>
      </c>
      <c r="C703" t="s">
        <v>1750</v>
      </c>
      <c r="D703" t="s">
        <v>138</v>
      </c>
      <c r="E703" t="s">
        <v>23</v>
      </c>
      <c r="F703" t="s">
        <v>28</v>
      </c>
      <c r="G703">
        <v>2011</v>
      </c>
      <c r="H703" t="s">
        <v>144</v>
      </c>
      <c r="K703" t="s">
        <v>25</v>
      </c>
      <c r="L703" t="s">
        <v>26</v>
      </c>
      <c r="M703" t="b">
        <v>1</v>
      </c>
      <c r="N703" t="s">
        <v>44</v>
      </c>
      <c r="P703" t="s">
        <v>1637</v>
      </c>
      <c r="Q703" t="b">
        <v>0</v>
      </c>
      <c r="S703" t="str">
        <f>"9780310721833"</f>
        <v>9780310721833</v>
      </c>
      <c r="T703" t="str">
        <f>"9780310410089"</f>
        <v>9780310410089</v>
      </c>
      <c r="U703" t="b">
        <v>0</v>
      </c>
      <c r="W703" t="b">
        <v>0</v>
      </c>
    </row>
    <row r="704" spans="1:23" x14ac:dyDescent="0.3">
      <c r="A704">
        <v>2982853</v>
      </c>
      <c r="B704">
        <v>78.14</v>
      </c>
      <c r="C704" t="s">
        <v>1751</v>
      </c>
      <c r="E704" t="s">
        <v>23</v>
      </c>
      <c r="F704" t="s">
        <v>28</v>
      </c>
      <c r="G704">
        <v>2017</v>
      </c>
      <c r="H704" t="s">
        <v>863</v>
      </c>
      <c r="K704" t="s">
        <v>25</v>
      </c>
      <c r="L704" t="s">
        <v>26</v>
      </c>
      <c r="M704" t="b">
        <v>1</v>
      </c>
      <c r="N704" t="s">
        <v>44</v>
      </c>
      <c r="Q704" t="b">
        <v>0</v>
      </c>
      <c r="T704" t="str">
        <f>"9780310758815"</f>
        <v>9780310758815</v>
      </c>
      <c r="U704" t="b">
        <v>0</v>
      </c>
      <c r="W704" t="b">
        <v>0</v>
      </c>
    </row>
    <row r="705" spans="1:23" x14ac:dyDescent="0.3">
      <c r="A705">
        <v>2982852</v>
      </c>
      <c r="B705">
        <v>17.22</v>
      </c>
      <c r="C705" t="s">
        <v>1752</v>
      </c>
      <c r="E705" t="s">
        <v>23</v>
      </c>
      <c r="F705" t="s">
        <v>28</v>
      </c>
      <c r="G705">
        <v>2020</v>
      </c>
      <c r="H705" t="s">
        <v>1694</v>
      </c>
      <c r="K705" t="s">
        <v>25</v>
      </c>
      <c r="L705" t="s">
        <v>26</v>
      </c>
      <c r="M705" t="b">
        <v>1</v>
      </c>
      <c r="N705" t="s">
        <v>1695</v>
      </c>
      <c r="Q705" t="b">
        <v>0</v>
      </c>
      <c r="S705" t="str">
        <f>"9780310769521"</f>
        <v>9780310769521</v>
      </c>
      <c r="T705" t="str">
        <f>"9780310769538"</f>
        <v>9780310769538</v>
      </c>
      <c r="U705" t="b">
        <v>0</v>
      </c>
      <c r="W705" t="b">
        <v>0</v>
      </c>
    </row>
    <row r="706" spans="1:23" x14ac:dyDescent="0.3">
      <c r="A706">
        <v>2982851</v>
      </c>
      <c r="B706">
        <v>28.39</v>
      </c>
      <c r="C706" t="s">
        <v>1753</v>
      </c>
      <c r="E706" t="s">
        <v>23</v>
      </c>
      <c r="F706" t="s">
        <v>28</v>
      </c>
      <c r="G706">
        <v>2011</v>
      </c>
      <c r="H706" t="s">
        <v>34</v>
      </c>
      <c r="K706" t="s">
        <v>25</v>
      </c>
      <c r="L706" t="s">
        <v>30</v>
      </c>
      <c r="M706" t="b">
        <v>1</v>
      </c>
      <c r="N706" t="s">
        <v>675</v>
      </c>
      <c r="P706" t="s">
        <v>721</v>
      </c>
      <c r="Q706" t="b">
        <v>1</v>
      </c>
      <c r="T706" t="str">
        <f>"9780310424239"</f>
        <v>9780310424239</v>
      </c>
      <c r="U706" t="b">
        <v>0</v>
      </c>
      <c r="W706" t="b">
        <v>0</v>
      </c>
    </row>
    <row r="707" spans="1:23" x14ac:dyDescent="0.3">
      <c r="A707">
        <v>2982850</v>
      </c>
      <c r="B707">
        <v>17.22</v>
      </c>
      <c r="C707" t="s">
        <v>1754</v>
      </c>
      <c r="D707" t="s">
        <v>1640</v>
      </c>
      <c r="E707" t="s">
        <v>23</v>
      </c>
      <c r="F707" t="s">
        <v>28</v>
      </c>
      <c r="G707">
        <v>2009</v>
      </c>
      <c r="H707" t="s">
        <v>34</v>
      </c>
      <c r="K707" t="s">
        <v>25</v>
      </c>
      <c r="L707" t="s">
        <v>30</v>
      </c>
      <c r="M707" t="b">
        <v>1</v>
      </c>
      <c r="N707" t="s">
        <v>480</v>
      </c>
      <c r="P707" t="s">
        <v>1755</v>
      </c>
      <c r="Q707" t="b">
        <v>1</v>
      </c>
      <c r="S707" t="str">
        <f>"9780310714569"</f>
        <v>9780310714569</v>
      </c>
      <c r="T707" t="str">
        <f>"9780310868569"</f>
        <v>9780310868569</v>
      </c>
      <c r="U707" t="b">
        <v>0</v>
      </c>
      <c r="W707" t="b">
        <v>0</v>
      </c>
    </row>
    <row r="708" spans="1:23" x14ac:dyDescent="0.3">
      <c r="A708">
        <v>2982849</v>
      </c>
      <c r="B708">
        <v>71.03</v>
      </c>
      <c r="C708" t="s">
        <v>1756</v>
      </c>
      <c r="E708" t="s">
        <v>23</v>
      </c>
      <c r="F708" t="s">
        <v>28</v>
      </c>
      <c r="G708">
        <v>2017</v>
      </c>
      <c r="H708" t="s">
        <v>1315</v>
      </c>
      <c r="K708" t="s">
        <v>25</v>
      </c>
      <c r="L708" t="s">
        <v>26</v>
      </c>
      <c r="M708" t="b">
        <v>1</v>
      </c>
      <c r="N708" t="s">
        <v>44</v>
      </c>
      <c r="Q708" t="b">
        <v>0</v>
      </c>
      <c r="T708" t="str">
        <f>"9780310757979"</f>
        <v>9780310757979</v>
      </c>
      <c r="U708" t="b">
        <v>0</v>
      </c>
      <c r="W708" t="b">
        <v>0</v>
      </c>
    </row>
    <row r="709" spans="1:23" x14ac:dyDescent="0.3">
      <c r="A709">
        <v>2982848</v>
      </c>
      <c r="B709">
        <v>17.73</v>
      </c>
      <c r="C709" t="s">
        <v>1757</v>
      </c>
      <c r="E709" t="s">
        <v>23</v>
      </c>
      <c r="F709" t="s">
        <v>28</v>
      </c>
      <c r="G709">
        <v>2009</v>
      </c>
      <c r="H709" t="s">
        <v>492</v>
      </c>
      <c r="K709" t="s">
        <v>25</v>
      </c>
      <c r="L709" t="s">
        <v>30</v>
      </c>
      <c r="M709" t="b">
        <v>1</v>
      </c>
      <c r="N709" t="s">
        <v>83</v>
      </c>
      <c r="P709" t="s">
        <v>1624</v>
      </c>
      <c r="Q709" t="b">
        <v>1</v>
      </c>
      <c r="S709" t="str">
        <f>"9780310707578"</f>
        <v>9780310707578</v>
      </c>
      <c r="T709" t="str">
        <f>"9780310568711"</f>
        <v>9780310568711</v>
      </c>
      <c r="U709" t="b">
        <v>0</v>
      </c>
      <c r="W709" t="b">
        <v>0</v>
      </c>
    </row>
    <row r="710" spans="1:23" x14ac:dyDescent="0.3">
      <c r="A710">
        <v>2982847</v>
      </c>
      <c r="B710">
        <v>17.22</v>
      </c>
      <c r="C710" t="s">
        <v>246</v>
      </c>
      <c r="D710" t="s">
        <v>93</v>
      </c>
      <c r="E710" t="s">
        <v>23</v>
      </c>
      <c r="F710" t="s">
        <v>28</v>
      </c>
      <c r="G710">
        <v>2009</v>
      </c>
      <c r="H710" t="s">
        <v>336</v>
      </c>
      <c r="K710" t="s">
        <v>25</v>
      </c>
      <c r="L710" t="s">
        <v>30</v>
      </c>
      <c r="M710" t="b">
        <v>1</v>
      </c>
      <c r="N710" t="s">
        <v>1417</v>
      </c>
      <c r="P710" t="s">
        <v>1706</v>
      </c>
      <c r="Q710" t="b">
        <v>1</v>
      </c>
      <c r="S710" t="str">
        <f>"9780310716204"</f>
        <v>9780310716204</v>
      </c>
      <c r="T710" t="str">
        <f>"9780310868804"</f>
        <v>9780310868804</v>
      </c>
      <c r="U710" t="b">
        <v>0</v>
      </c>
      <c r="W710" t="b">
        <v>0</v>
      </c>
    </row>
    <row r="711" spans="1:23" x14ac:dyDescent="0.3">
      <c r="A711">
        <v>2982846</v>
      </c>
      <c r="B711">
        <v>28.39</v>
      </c>
      <c r="C711" t="s">
        <v>1758</v>
      </c>
      <c r="E711" t="s">
        <v>23</v>
      </c>
      <c r="F711" t="s">
        <v>28</v>
      </c>
      <c r="G711">
        <v>2012</v>
      </c>
      <c r="H711" t="s">
        <v>1603</v>
      </c>
      <c r="K711" t="s">
        <v>25</v>
      </c>
      <c r="L711" t="s">
        <v>30</v>
      </c>
      <c r="M711" t="b">
        <v>1</v>
      </c>
      <c r="N711" t="s">
        <v>1604</v>
      </c>
      <c r="P711" t="s">
        <v>1605</v>
      </c>
      <c r="Q711" t="b">
        <v>1</v>
      </c>
      <c r="S711" t="str">
        <f>"9780310726173"</f>
        <v>9780310726173</v>
      </c>
      <c r="T711" t="str">
        <f>"9780310726180"</f>
        <v>9780310726180</v>
      </c>
      <c r="U711" t="b">
        <v>0</v>
      </c>
      <c r="W711" t="b">
        <v>0</v>
      </c>
    </row>
    <row r="712" spans="1:23" x14ac:dyDescent="0.3">
      <c r="A712">
        <v>2982845</v>
      </c>
      <c r="B712">
        <v>42.61</v>
      </c>
      <c r="C712" t="s">
        <v>1759</v>
      </c>
      <c r="D712" t="s">
        <v>1760</v>
      </c>
      <c r="E712" t="s">
        <v>23</v>
      </c>
      <c r="F712" t="s">
        <v>28</v>
      </c>
      <c r="G712">
        <v>2010</v>
      </c>
      <c r="H712" t="s">
        <v>192</v>
      </c>
      <c r="K712" t="s">
        <v>25</v>
      </c>
      <c r="L712" t="s">
        <v>30</v>
      </c>
      <c r="M712" t="b">
        <v>1</v>
      </c>
      <c r="N712" t="s">
        <v>1744</v>
      </c>
      <c r="P712" t="s">
        <v>1740</v>
      </c>
      <c r="Q712" t="b">
        <v>1</v>
      </c>
      <c r="T712" t="str">
        <f>"9780310866992"</f>
        <v>9780310866992</v>
      </c>
      <c r="U712" t="b">
        <v>0</v>
      </c>
      <c r="W712" t="b">
        <v>0</v>
      </c>
    </row>
    <row r="713" spans="1:23" x14ac:dyDescent="0.3">
      <c r="A713">
        <v>2982844</v>
      </c>
      <c r="B713">
        <v>27.57</v>
      </c>
      <c r="C713" t="s">
        <v>1761</v>
      </c>
      <c r="E713" t="s">
        <v>23</v>
      </c>
      <c r="F713" t="s">
        <v>28</v>
      </c>
      <c r="G713">
        <v>2011</v>
      </c>
      <c r="H713" t="s">
        <v>41</v>
      </c>
      <c r="K713" t="s">
        <v>25</v>
      </c>
      <c r="L713" t="s">
        <v>30</v>
      </c>
      <c r="M713" t="b">
        <v>1</v>
      </c>
      <c r="N713" t="s">
        <v>1762</v>
      </c>
      <c r="P713" t="s">
        <v>721</v>
      </c>
      <c r="Q713" t="b">
        <v>1</v>
      </c>
      <c r="S713" t="str">
        <f>"9780310706236"</f>
        <v>9780310706236</v>
      </c>
      <c r="T713" t="str">
        <f>"9780310424345"</f>
        <v>9780310424345</v>
      </c>
      <c r="U713" t="b">
        <v>0</v>
      </c>
      <c r="W713" t="b">
        <v>0</v>
      </c>
    </row>
    <row r="714" spans="1:23" x14ac:dyDescent="0.3">
      <c r="A714">
        <v>2982843</v>
      </c>
      <c r="B714">
        <v>35.5</v>
      </c>
      <c r="C714" t="s">
        <v>1763</v>
      </c>
      <c r="E714" t="s">
        <v>23</v>
      </c>
      <c r="F714" t="s">
        <v>28</v>
      </c>
      <c r="G714">
        <v>2010</v>
      </c>
      <c r="H714" t="s">
        <v>29</v>
      </c>
      <c r="K714" t="s">
        <v>25</v>
      </c>
      <c r="L714" t="s">
        <v>30</v>
      </c>
      <c r="M714" t="b">
        <v>1</v>
      </c>
      <c r="N714" t="s">
        <v>1764</v>
      </c>
      <c r="Q714" t="b">
        <v>1</v>
      </c>
      <c r="T714" t="str">
        <f>"9780310424123"</f>
        <v>9780310424123</v>
      </c>
      <c r="U714" t="b">
        <v>0</v>
      </c>
      <c r="W714" t="b">
        <v>0</v>
      </c>
    </row>
    <row r="715" spans="1:23" x14ac:dyDescent="0.3">
      <c r="A715">
        <v>2982842</v>
      </c>
      <c r="B715">
        <v>17.73</v>
      </c>
      <c r="C715" t="s">
        <v>1765</v>
      </c>
      <c r="E715" t="s">
        <v>23</v>
      </c>
      <c r="F715" t="s">
        <v>28</v>
      </c>
      <c r="G715">
        <v>2011</v>
      </c>
      <c r="H715" t="s">
        <v>1337</v>
      </c>
      <c r="K715" t="s">
        <v>25</v>
      </c>
      <c r="L715" t="s">
        <v>30</v>
      </c>
      <c r="M715" t="b">
        <v>1</v>
      </c>
      <c r="N715" t="s">
        <v>675</v>
      </c>
      <c r="P715" t="s">
        <v>721</v>
      </c>
      <c r="Q715" t="b">
        <v>1</v>
      </c>
      <c r="T715" t="str">
        <f>"9780310424208"</f>
        <v>9780310424208</v>
      </c>
      <c r="U715" t="b">
        <v>0</v>
      </c>
      <c r="W715" t="b">
        <v>0</v>
      </c>
    </row>
    <row r="716" spans="1:23" x14ac:dyDescent="0.3">
      <c r="A716">
        <v>2982841</v>
      </c>
      <c r="B716">
        <v>42.61</v>
      </c>
      <c r="C716" t="s">
        <v>1766</v>
      </c>
      <c r="E716" t="s">
        <v>23</v>
      </c>
      <c r="F716" t="s">
        <v>28</v>
      </c>
      <c r="G716">
        <v>2011</v>
      </c>
      <c r="H716" t="s">
        <v>1315</v>
      </c>
      <c r="K716" t="s">
        <v>25</v>
      </c>
      <c r="L716" t="s">
        <v>30</v>
      </c>
      <c r="M716" t="b">
        <v>1</v>
      </c>
      <c r="N716" t="s">
        <v>44</v>
      </c>
      <c r="P716" t="s">
        <v>146</v>
      </c>
      <c r="Q716" t="b">
        <v>0</v>
      </c>
      <c r="T716" t="str">
        <f>"9780310729914"</f>
        <v>9780310729914</v>
      </c>
      <c r="U716" t="b">
        <v>0</v>
      </c>
      <c r="W716" t="b">
        <v>0</v>
      </c>
    </row>
    <row r="717" spans="1:23" x14ac:dyDescent="0.3">
      <c r="A717">
        <v>2982840</v>
      </c>
      <c r="B717">
        <v>103.47</v>
      </c>
      <c r="C717" t="s">
        <v>1767</v>
      </c>
      <c r="E717" t="s">
        <v>23</v>
      </c>
      <c r="F717" t="s">
        <v>28</v>
      </c>
      <c r="G717">
        <v>2013</v>
      </c>
      <c r="H717" t="s">
        <v>1315</v>
      </c>
      <c r="K717" t="s">
        <v>25</v>
      </c>
      <c r="L717" t="s">
        <v>30</v>
      </c>
      <c r="M717" t="b">
        <v>1</v>
      </c>
      <c r="N717" t="s">
        <v>44</v>
      </c>
      <c r="Q717" t="b">
        <v>0</v>
      </c>
      <c r="S717" t="str">
        <f>"9780310744641"</f>
        <v>9780310744641</v>
      </c>
      <c r="T717" t="str">
        <f>"9780310426301"</f>
        <v>9780310426301</v>
      </c>
      <c r="U717" t="b">
        <v>0</v>
      </c>
      <c r="W717" t="b">
        <v>0</v>
      </c>
    </row>
    <row r="718" spans="1:23" x14ac:dyDescent="0.3">
      <c r="A718">
        <v>2982839</v>
      </c>
      <c r="B718">
        <v>27.57</v>
      </c>
      <c r="C718" t="s">
        <v>1768</v>
      </c>
      <c r="E718" t="s">
        <v>23</v>
      </c>
      <c r="F718" t="s">
        <v>28</v>
      </c>
      <c r="G718">
        <v>2011</v>
      </c>
      <c r="H718" t="s">
        <v>718</v>
      </c>
      <c r="K718" t="s">
        <v>25</v>
      </c>
      <c r="L718" t="s">
        <v>30</v>
      </c>
      <c r="M718" t="b">
        <v>1</v>
      </c>
      <c r="N718" t="s">
        <v>1553</v>
      </c>
      <c r="P718" t="s">
        <v>1554</v>
      </c>
      <c r="Q718" t="b">
        <v>1</v>
      </c>
      <c r="S718" t="str">
        <f>"9780310726647"</f>
        <v>9780310726647</v>
      </c>
      <c r="T718" t="str">
        <f>"9780310726654"</f>
        <v>9780310726654</v>
      </c>
      <c r="U718" t="b">
        <v>0</v>
      </c>
      <c r="W718" t="b">
        <v>0</v>
      </c>
    </row>
    <row r="719" spans="1:23" x14ac:dyDescent="0.3">
      <c r="A719">
        <v>2982838</v>
      </c>
      <c r="B719">
        <v>31.02</v>
      </c>
      <c r="C719" t="s">
        <v>1769</v>
      </c>
      <c r="E719" t="s">
        <v>23</v>
      </c>
      <c r="F719" t="s">
        <v>28</v>
      </c>
      <c r="G719">
        <v>2016</v>
      </c>
      <c r="H719" t="s">
        <v>1746</v>
      </c>
      <c r="K719" t="s">
        <v>25</v>
      </c>
      <c r="L719" t="s">
        <v>26</v>
      </c>
      <c r="M719" t="b">
        <v>1</v>
      </c>
      <c r="N719" t="s">
        <v>664</v>
      </c>
      <c r="Q719" t="b">
        <v>1</v>
      </c>
      <c r="S719" t="str">
        <f>"9780310732440"</f>
        <v>9780310732440</v>
      </c>
      <c r="T719" t="str">
        <f>"9780310732457"</f>
        <v>9780310732457</v>
      </c>
      <c r="U719" t="b">
        <v>0</v>
      </c>
      <c r="W719" t="b">
        <v>0</v>
      </c>
    </row>
    <row r="720" spans="1:23" x14ac:dyDescent="0.3">
      <c r="A720">
        <v>2982837</v>
      </c>
      <c r="B720">
        <v>14.18</v>
      </c>
      <c r="C720" t="s">
        <v>1770</v>
      </c>
      <c r="E720" t="s">
        <v>23</v>
      </c>
      <c r="F720" t="s">
        <v>28</v>
      </c>
      <c r="G720">
        <v>2010</v>
      </c>
      <c r="H720" t="s">
        <v>704</v>
      </c>
      <c r="K720" t="s">
        <v>25</v>
      </c>
      <c r="L720" t="s">
        <v>30</v>
      </c>
      <c r="M720" t="b">
        <v>1</v>
      </c>
      <c r="N720" t="s">
        <v>1592</v>
      </c>
      <c r="P720" t="s">
        <v>1593</v>
      </c>
      <c r="Q720" t="b">
        <v>1</v>
      </c>
      <c r="T720" t="str">
        <f>"9780310423782"</f>
        <v>9780310423782</v>
      </c>
      <c r="U720" t="b">
        <v>0</v>
      </c>
      <c r="W720" t="b">
        <v>0</v>
      </c>
    </row>
    <row r="721" spans="1:23" x14ac:dyDescent="0.3">
      <c r="A721">
        <v>2982836</v>
      </c>
      <c r="B721">
        <v>17.22</v>
      </c>
      <c r="C721" t="s">
        <v>1771</v>
      </c>
      <c r="D721" t="s">
        <v>1640</v>
      </c>
      <c r="E721" t="s">
        <v>23</v>
      </c>
      <c r="F721" t="s">
        <v>28</v>
      </c>
      <c r="G721">
        <v>2009</v>
      </c>
      <c r="H721" t="s">
        <v>34</v>
      </c>
      <c r="K721" t="s">
        <v>25</v>
      </c>
      <c r="L721" t="s">
        <v>30</v>
      </c>
      <c r="M721" t="b">
        <v>1</v>
      </c>
      <c r="N721" t="s">
        <v>480</v>
      </c>
      <c r="P721" t="s">
        <v>1755</v>
      </c>
      <c r="Q721" t="b">
        <v>1</v>
      </c>
      <c r="S721" t="str">
        <f>"9780310714552"</f>
        <v>9780310714552</v>
      </c>
      <c r="T721" t="str">
        <f>"9780310868552"</f>
        <v>9780310868552</v>
      </c>
      <c r="U721" t="b">
        <v>0</v>
      </c>
      <c r="W721" t="b">
        <v>0</v>
      </c>
    </row>
    <row r="722" spans="1:23" x14ac:dyDescent="0.3">
      <c r="A722">
        <v>2982835</v>
      </c>
      <c r="B722">
        <v>37.92</v>
      </c>
      <c r="C722" t="s">
        <v>1772</v>
      </c>
      <c r="E722" t="s">
        <v>23</v>
      </c>
      <c r="F722" t="s">
        <v>28</v>
      </c>
      <c r="G722">
        <v>2013</v>
      </c>
      <c r="H722" t="s">
        <v>1603</v>
      </c>
      <c r="K722" t="s">
        <v>25</v>
      </c>
      <c r="L722" t="s">
        <v>30</v>
      </c>
      <c r="M722" t="b">
        <v>1</v>
      </c>
      <c r="N722" t="s">
        <v>1604</v>
      </c>
      <c r="P722" t="s">
        <v>1605</v>
      </c>
      <c r="Q722" t="b">
        <v>1</v>
      </c>
      <c r="S722" t="str">
        <f>"9780310740070"</f>
        <v>9780310740070</v>
      </c>
      <c r="T722" t="str">
        <f>"9780310740087"</f>
        <v>9780310740087</v>
      </c>
      <c r="U722" t="b">
        <v>0</v>
      </c>
      <c r="W722" t="b">
        <v>0</v>
      </c>
    </row>
    <row r="723" spans="1:23" x14ac:dyDescent="0.3">
      <c r="A723">
        <v>2982834</v>
      </c>
      <c r="B723">
        <v>34.47</v>
      </c>
      <c r="C723" t="s">
        <v>1773</v>
      </c>
      <c r="E723" t="s">
        <v>23</v>
      </c>
      <c r="F723" t="s">
        <v>28</v>
      </c>
      <c r="G723">
        <v>2016</v>
      </c>
      <c r="H723" t="s">
        <v>222</v>
      </c>
      <c r="K723" t="s">
        <v>25</v>
      </c>
      <c r="L723" t="s">
        <v>26</v>
      </c>
      <c r="M723" t="b">
        <v>1</v>
      </c>
      <c r="N723" t="s">
        <v>146</v>
      </c>
      <c r="P723" t="s">
        <v>146</v>
      </c>
      <c r="Q723" t="b">
        <v>0</v>
      </c>
      <c r="S723" t="str">
        <f>"9780310756101"</f>
        <v>9780310756101</v>
      </c>
      <c r="T723" t="str">
        <f>"9780310756071"</f>
        <v>9780310756071</v>
      </c>
      <c r="U723" t="b">
        <v>0</v>
      </c>
      <c r="W723" t="b">
        <v>0</v>
      </c>
    </row>
    <row r="724" spans="1:23" x14ac:dyDescent="0.3">
      <c r="A724">
        <v>2982833</v>
      </c>
      <c r="B724">
        <v>79.319999999999993</v>
      </c>
      <c r="C724" t="s">
        <v>1774</v>
      </c>
      <c r="E724" t="s">
        <v>23</v>
      </c>
      <c r="F724" t="s">
        <v>28</v>
      </c>
      <c r="G724">
        <v>2012</v>
      </c>
      <c r="H724" t="s">
        <v>863</v>
      </c>
      <c r="K724" t="s">
        <v>25</v>
      </c>
      <c r="L724" t="s">
        <v>30</v>
      </c>
      <c r="M724" t="b">
        <v>1</v>
      </c>
      <c r="N724" t="s">
        <v>28</v>
      </c>
      <c r="Q724" t="b">
        <v>0</v>
      </c>
      <c r="S724" t="str">
        <f>"9780310763420"</f>
        <v>9780310763420</v>
      </c>
      <c r="T724" t="str">
        <f>"9780310729907"</f>
        <v>9780310729907</v>
      </c>
      <c r="U724" t="b">
        <v>0</v>
      </c>
      <c r="V724" t="s">
        <v>1775</v>
      </c>
      <c r="W724" t="b">
        <v>0</v>
      </c>
    </row>
    <row r="725" spans="1:23" x14ac:dyDescent="0.3">
      <c r="A725">
        <v>2982832</v>
      </c>
      <c r="B725">
        <v>35.5</v>
      </c>
      <c r="C725" t="s">
        <v>1776</v>
      </c>
      <c r="E725" t="s">
        <v>23</v>
      </c>
      <c r="F725" t="s">
        <v>28</v>
      </c>
      <c r="G725">
        <v>2009</v>
      </c>
      <c r="H725" t="s">
        <v>316</v>
      </c>
      <c r="K725" t="s">
        <v>25</v>
      </c>
      <c r="L725" t="s">
        <v>30</v>
      </c>
      <c r="M725" t="b">
        <v>1</v>
      </c>
      <c r="N725" t="s">
        <v>1777</v>
      </c>
      <c r="P725" t="s">
        <v>1778</v>
      </c>
      <c r="Q725" t="b">
        <v>1</v>
      </c>
      <c r="T725" t="str">
        <f>"9780310870333"</f>
        <v>9780310870333</v>
      </c>
      <c r="U725" t="b">
        <v>0</v>
      </c>
      <c r="W725" t="b">
        <v>0</v>
      </c>
    </row>
    <row r="726" spans="1:23" x14ac:dyDescent="0.3">
      <c r="A726">
        <v>2982831</v>
      </c>
      <c r="B726">
        <v>24.12</v>
      </c>
      <c r="C726" t="s">
        <v>1779</v>
      </c>
      <c r="E726" t="s">
        <v>23</v>
      </c>
      <c r="F726" t="s">
        <v>28</v>
      </c>
      <c r="G726">
        <v>2011</v>
      </c>
      <c r="H726" t="s">
        <v>717</v>
      </c>
      <c r="K726" t="s">
        <v>25</v>
      </c>
      <c r="L726" t="s">
        <v>30</v>
      </c>
      <c r="M726" t="b">
        <v>1</v>
      </c>
      <c r="N726" t="s">
        <v>116</v>
      </c>
      <c r="P726" t="s">
        <v>1780</v>
      </c>
      <c r="Q726" t="b">
        <v>1</v>
      </c>
      <c r="S726" t="str">
        <f>"9780310721949"</f>
        <v>9780310721949</v>
      </c>
      <c r="T726" t="str">
        <f>"9780310410188"</f>
        <v>9780310410188</v>
      </c>
      <c r="U726" t="b">
        <v>0</v>
      </c>
      <c r="W726" t="b">
        <v>0</v>
      </c>
    </row>
    <row r="727" spans="1:23" x14ac:dyDescent="0.3">
      <c r="A727">
        <v>2982830</v>
      </c>
      <c r="B727">
        <v>81.7</v>
      </c>
      <c r="C727" t="s">
        <v>1781</v>
      </c>
      <c r="E727" t="s">
        <v>23</v>
      </c>
      <c r="F727" t="s">
        <v>28</v>
      </c>
      <c r="G727">
        <v>2012</v>
      </c>
      <c r="H727" t="s">
        <v>1315</v>
      </c>
      <c r="K727" t="s">
        <v>25</v>
      </c>
      <c r="L727" t="s">
        <v>30</v>
      </c>
      <c r="M727" t="b">
        <v>1</v>
      </c>
      <c r="N727" t="s">
        <v>1782</v>
      </c>
      <c r="P727" t="s">
        <v>1316</v>
      </c>
      <c r="Q727" t="b">
        <v>0</v>
      </c>
      <c r="T727" t="str">
        <f>"9780310736837"</f>
        <v>9780310736837</v>
      </c>
      <c r="U727" t="b">
        <v>0</v>
      </c>
      <c r="W727" t="b">
        <v>0</v>
      </c>
    </row>
    <row r="728" spans="1:23" x14ac:dyDescent="0.3">
      <c r="A728">
        <v>2982829</v>
      </c>
      <c r="B728">
        <v>31.02</v>
      </c>
      <c r="C728" t="s">
        <v>1783</v>
      </c>
      <c r="E728" t="s">
        <v>23</v>
      </c>
      <c r="F728" t="s">
        <v>28</v>
      </c>
      <c r="G728">
        <v>2016</v>
      </c>
      <c r="H728" t="s">
        <v>1337</v>
      </c>
      <c r="K728" t="s">
        <v>25</v>
      </c>
      <c r="L728" t="s">
        <v>26</v>
      </c>
      <c r="M728" t="b">
        <v>1</v>
      </c>
      <c r="N728" t="s">
        <v>1784</v>
      </c>
      <c r="P728" t="s">
        <v>1785</v>
      </c>
      <c r="Q728" t="b">
        <v>1</v>
      </c>
      <c r="S728" t="str">
        <f>"9780310742517"</f>
        <v>9780310742517</v>
      </c>
      <c r="T728" t="str">
        <f>"9780310742524"</f>
        <v>9780310742524</v>
      </c>
      <c r="U728" t="b">
        <v>0</v>
      </c>
      <c r="W728" t="b">
        <v>0</v>
      </c>
    </row>
    <row r="729" spans="1:23" x14ac:dyDescent="0.3">
      <c r="A729">
        <v>2982828</v>
      </c>
      <c r="B729">
        <v>17.73</v>
      </c>
      <c r="C729" t="s">
        <v>1786</v>
      </c>
      <c r="E729" t="s">
        <v>23</v>
      </c>
      <c r="F729" t="s">
        <v>28</v>
      </c>
      <c r="G729">
        <v>2010</v>
      </c>
      <c r="H729" t="s">
        <v>41</v>
      </c>
      <c r="K729" t="s">
        <v>25</v>
      </c>
      <c r="L729" t="s">
        <v>30</v>
      </c>
      <c r="M729" t="b">
        <v>1</v>
      </c>
      <c r="N729" t="s">
        <v>1657</v>
      </c>
      <c r="P729" t="s">
        <v>1658</v>
      </c>
      <c r="Q729" t="b">
        <v>1</v>
      </c>
      <c r="T729" t="str">
        <f>"9780310872474"</f>
        <v>9780310872474</v>
      </c>
      <c r="U729" t="b">
        <v>0</v>
      </c>
      <c r="W729" t="b">
        <v>0</v>
      </c>
    </row>
    <row r="730" spans="1:23" x14ac:dyDescent="0.3">
      <c r="A730">
        <v>2982827</v>
      </c>
      <c r="B730">
        <v>27.57</v>
      </c>
      <c r="C730" t="s">
        <v>1787</v>
      </c>
      <c r="E730" t="s">
        <v>23</v>
      </c>
      <c r="F730" t="s">
        <v>28</v>
      </c>
      <c r="G730">
        <v>2012</v>
      </c>
      <c r="H730" t="s">
        <v>172</v>
      </c>
      <c r="K730" t="s">
        <v>25</v>
      </c>
      <c r="L730" t="s">
        <v>30</v>
      </c>
      <c r="M730" t="b">
        <v>1</v>
      </c>
      <c r="N730" t="s">
        <v>1575</v>
      </c>
      <c r="P730" t="s">
        <v>1576</v>
      </c>
      <c r="Q730" t="b">
        <v>1</v>
      </c>
      <c r="S730" t="str">
        <f>"9780310727958"</f>
        <v>9780310727958</v>
      </c>
      <c r="T730" t="str">
        <f>"9780310727965"</f>
        <v>9780310727965</v>
      </c>
      <c r="U730" t="b">
        <v>0</v>
      </c>
      <c r="W730" t="b">
        <v>0</v>
      </c>
    </row>
    <row r="731" spans="1:23" x14ac:dyDescent="0.3">
      <c r="A731">
        <v>2982826</v>
      </c>
      <c r="B731">
        <v>44.82</v>
      </c>
      <c r="C731" t="s">
        <v>1788</v>
      </c>
      <c r="D731" t="s">
        <v>1789</v>
      </c>
      <c r="E731" t="s">
        <v>23</v>
      </c>
      <c r="F731" t="s">
        <v>28</v>
      </c>
      <c r="G731">
        <v>2018</v>
      </c>
      <c r="H731" t="s">
        <v>233</v>
      </c>
      <c r="K731" t="s">
        <v>25</v>
      </c>
      <c r="L731" t="s">
        <v>26</v>
      </c>
      <c r="M731" t="b">
        <v>1</v>
      </c>
      <c r="N731" t="s">
        <v>44</v>
      </c>
      <c r="P731" t="s">
        <v>234</v>
      </c>
      <c r="Q731" t="b">
        <v>0</v>
      </c>
      <c r="S731" t="str">
        <f>"9780310763178"</f>
        <v>9780310763178</v>
      </c>
      <c r="T731" t="str">
        <f>"9780310763192"</f>
        <v>9780310763192</v>
      </c>
      <c r="U731" t="b">
        <v>0</v>
      </c>
      <c r="W731" t="b">
        <v>0</v>
      </c>
    </row>
    <row r="732" spans="1:23" x14ac:dyDescent="0.3">
      <c r="A732">
        <v>2982825</v>
      </c>
      <c r="B732">
        <v>46.16</v>
      </c>
      <c r="C732" t="s">
        <v>1790</v>
      </c>
      <c r="E732" t="s">
        <v>23</v>
      </c>
      <c r="F732" t="s">
        <v>28</v>
      </c>
      <c r="G732">
        <v>2011</v>
      </c>
      <c r="H732" t="s">
        <v>1791</v>
      </c>
      <c r="K732" t="s">
        <v>25</v>
      </c>
      <c r="L732" t="s">
        <v>30</v>
      </c>
      <c r="M732" t="b">
        <v>1</v>
      </c>
      <c r="N732" t="s">
        <v>1792</v>
      </c>
      <c r="Q732" t="b">
        <v>1</v>
      </c>
      <c r="T732" t="str">
        <f>"9780310399681"</f>
        <v>9780310399681</v>
      </c>
      <c r="U732" t="b">
        <v>0</v>
      </c>
      <c r="W732" t="b">
        <v>0</v>
      </c>
    </row>
    <row r="733" spans="1:23" x14ac:dyDescent="0.3">
      <c r="A733">
        <v>2982824</v>
      </c>
      <c r="B733">
        <v>28.39</v>
      </c>
      <c r="C733" t="s">
        <v>1793</v>
      </c>
      <c r="E733" t="s">
        <v>23</v>
      </c>
      <c r="F733" t="s">
        <v>28</v>
      </c>
      <c r="G733">
        <v>2011</v>
      </c>
      <c r="H733" t="s">
        <v>531</v>
      </c>
      <c r="K733" t="s">
        <v>25</v>
      </c>
      <c r="L733" t="s">
        <v>30</v>
      </c>
      <c r="M733" t="b">
        <v>1</v>
      </c>
      <c r="N733" t="s">
        <v>1794</v>
      </c>
      <c r="P733" t="s">
        <v>1795</v>
      </c>
      <c r="Q733" t="b">
        <v>0</v>
      </c>
      <c r="T733" t="str">
        <f>"9780310870548"</f>
        <v>9780310870548</v>
      </c>
      <c r="U733" t="b">
        <v>0</v>
      </c>
      <c r="W733" t="b">
        <v>0</v>
      </c>
    </row>
    <row r="734" spans="1:23" x14ac:dyDescent="0.3">
      <c r="A734">
        <v>2982823</v>
      </c>
      <c r="B734">
        <v>28.39</v>
      </c>
      <c r="C734" t="s">
        <v>1796</v>
      </c>
      <c r="D734" t="s">
        <v>1797</v>
      </c>
      <c r="E734" t="s">
        <v>23</v>
      </c>
      <c r="F734" t="s">
        <v>28</v>
      </c>
      <c r="G734">
        <v>2015</v>
      </c>
      <c r="H734" t="s">
        <v>168</v>
      </c>
      <c r="K734" t="s">
        <v>25</v>
      </c>
      <c r="L734" t="s">
        <v>26</v>
      </c>
      <c r="M734" t="b">
        <v>1</v>
      </c>
      <c r="N734" t="s">
        <v>102</v>
      </c>
      <c r="P734" t="s">
        <v>84</v>
      </c>
      <c r="Q734" t="b">
        <v>0</v>
      </c>
      <c r="T734" t="str">
        <f>"9780310753605"</f>
        <v>9780310753605</v>
      </c>
      <c r="U734" t="b">
        <v>0</v>
      </c>
      <c r="W734" t="b">
        <v>0</v>
      </c>
    </row>
    <row r="735" spans="1:23" x14ac:dyDescent="0.3">
      <c r="A735">
        <v>2982822</v>
      </c>
      <c r="B735">
        <v>17.22</v>
      </c>
      <c r="C735" t="s">
        <v>1798</v>
      </c>
      <c r="D735" t="s">
        <v>93</v>
      </c>
      <c r="E735" t="s">
        <v>23</v>
      </c>
      <c r="F735" t="s">
        <v>28</v>
      </c>
      <c r="G735">
        <v>2010</v>
      </c>
      <c r="H735" t="s">
        <v>492</v>
      </c>
      <c r="K735" t="s">
        <v>25</v>
      </c>
      <c r="L735" t="s">
        <v>30</v>
      </c>
      <c r="M735" t="b">
        <v>1</v>
      </c>
      <c r="N735" t="s">
        <v>480</v>
      </c>
      <c r="P735" t="s">
        <v>1517</v>
      </c>
      <c r="Q735" t="b">
        <v>1</v>
      </c>
      <c r="S735" t="str">
        <f>"9780310717119"</f>
        <v>9780310717119</v>
      </c>
      <c r="T735" t="str">
        <f>"9780310424666"</f>
        <v>9780310424666</v>
      </c>
      <c r="U735" t="b">
        <v>0</v>
      </c>
      <c r="W735" t="b">
        <v>0</v>
      </c>
    </row>
    <row r="736" spans="1:23" x14ac:dyDescent="0.3">
      <c r="A736">
        <v>2982821</v>
      </c>
      <c r="B736">
        <v>58.62</v>
      </c>
      <c r="C736" t="s">
        <v>1799</v>
      </c>
      <c r="D736" t="s">
        <v>1800</v>
      </c>
      <c r="E736" t="s">
        <v>23</v>
      </c>
      <c r="F736" t="s">
        <v>28</v>
      </c>
      <c r="G736">
        <v>2017</v>
      </c>
      <c r="H736" t="s">
        <v>168</v>
      </c>
      <c r="K736" t="s">
        <v>25</v>
      </c>
      <c r="L736" t="s">
        <v>26</v>
      </c>
      <c r="M736" t="b">
        <v>1</v>
      </c>
      <c r="N736" t="s">
        <v>1514</v>
      </c>
      <c r="P736" t="s">
        <v>84</v>
      </c>
      <c r="Q736" t="b">
        <v>0</v>
      </c>
      <c r="S736" t="str">
        <f>"9780310758655"</f>
        <v>9780310758655</v>
      </c>
      <c r="T736" t="str">
        <f>"9780310758716"</f>
        <v>9780310758716</v>
      </c>
      <c r="U736" t="b">
        <v>0</v>
      </c>
      <c r="W736" t="b">
        <v>0</v>
      </c>
    </row>
    <row r="737" spans="1:23" x14ac:dyDescent="0.3">
      <c r="A737">
        <v>2982820</v>
      </c>
      <c r="B737">
        <v>35.5</v>
      </c>
      <c r="C737" t="s">
        <v>1801</v>
      </c>
      <c r="E737" t="s">
        <v>23</v>
      </c>
      <c r="F737" t="s">
        <v>28</v>
      </c>
      <c r="G737">
        <v>2009</v>
      </c>
      <c r="H737" t="s">
        <v>704</v>
      </c>
      <c r="K737" t="s">
        <v>25</v>
      </c>
      <c r="L737" t="s">
        <v>30</v>
      </c>
      <c r="M737" t="b">
        <v>1</v>
      </c>
      <c r="N737" t="s">
        <v>1612</v>
      </c>
      <c r="Q737" t="b">
        <v>1</v>
      </c>
      <c r="T737" t="str">
        <f>"9780310868859"</f>
        <v>9780310868859</v>
      </c>
      <c r="U737" t="b">
        <v>0</v>
      </c>
      <c r="W737" t="b">
        <v>0</v>
      </c>
    </row>
    <row r="738" spans="1:23" x14ac:dyDescent="0.3">
      <c r="A738">
        <v>2982819</v>
      </c>
      <c r="B738">
        <v>17.22</v>
      </c>
      <c r="C738" t="s">
        <v>1802</v>
      </c>
      <c r="E738" t="s">
        <v>23</v>
      </c>
      <c r="F738" t="s">
        <v>28</v>
      </c>
      <c r="G738">
        <v>2011</v>
      </c>
      <c r="H738" t="s">
        <v>34</v>
      </c>
      <c r="K738" t="s">
        <v>25</v>
      </c>
      <c r="L738" t="s">
        <v>30</v>
      </c>
      <c r="M738" t="b">
        <v>1</v>
      </c>
      <c r="N738" t="s">
        <v>1803</v>
      </c>
      <c r="P738" t="s">
        <v>721</v>
      </c>
      <c r="Q738" t="b">
        <v>1</v>
      </c>
      <c r="S738" t="str">
        <f>"9780310705406"</f>
        <v>9780310705406</v>
      </c>
      <c r="T738" t="str">
        <f>"9780310424369"</f>
        <v>9780310424369</v>
      </c>
      <c r="U738" t="b">
        <v>0</v>
      </c>
      <c r="W738" t="b">
        <v>0</v>
      </c>
    </row>
    <row r="739" spans="1:23" x14ac:dyDescent="0.3">
      <c r="A739">
        <v>2982818</v>
      </c>
      <c r="B739">
        <v>42.61</v>
      </c>
      <c r="C739" t="s">
        <v>1804</v>
      </c>
      <c r="E739" t="s">
        <v>23</v>
      </c>
      <c r="F739" t="s">
        <v>28</v>
      </c>
      <c r="G739">
        <v>2010</v>
      </c>
      <c r="H739" t="s">
        <v>41</v>
      </c>
      <c r="K739" t="s">
        <v>25</v>
      </c>
      <c r="L739" t="s">
        <v>30</v>
      </c>
      <c r="M739" t="b">
        <v>1</v>
      </c>
      <c r="N739" t="s">
        <v>1805</v>
      </c>
      <c r="Q739" t="b">
        <v>1</v>
      </c>
      <c r="T739" t="str">
        <f>"9780310870340"</f>
        <v>9780310870340</v>
      </c>
      <c r="U739" t="b">
        <v>0</v>
      </c>
      <c r="W739" t="b">
        <v>0</v>
      </c>
    </row>
    <row r="740" spans="1:23" x14ac:dyDescent="0.3">
      <c r="A740">
        <v>2982817</v>
      </c>
      <c r="B740">
        <v>17.22</v>
      </c>
      <c r="C740" t="s">
        <v>1806</v>
      </c>
      <c r="D740" t="s">
        <v>93</v>
      </c>
      <c r="E740" t="s">
        <v>23</v>
      </c>
      <c r="F740" t="s">
        <v>28</v>
      </c>
      <c r="G740">
        <v>2011</v>
      </c>
      <c r="H740" t="s">
        <v>144</v>
      </c>
      <c r="K740" t="s">
        <v>25</v>
      </c>
      <c r="L740" t="s">
        <v>30</v>
      </c>
      <c r="M740" t="b">
        <v>1</v>
      </c>
      <c r="N740" t="s">
        <v>480</v>
      </c>
      <c r="P740" t="s">
        <v>1395</v>
      </c>
      <c r="Q740" t="b">
        <v>0</v>
      </c>
      <c r="S740" t="str">
        <f>"9780310721567"</f>
        <v>9780310721567</v>
      </c>
      <c r="T740" t="str">
        <f>"9780310409137"</f>
        <v>9780310409137</v>
      </c>
      <c r="U740" t="b">
        <v>0</v>
      </c>
      <c r="W740" t="b">
        <v>0</v>
      </c>
    </row>
    <row r="741" spans="1:23" x14ac:dyDescent="0.3">
      <c r="A741">
        <v>2982816</v>
      </c>
      <c r="B741">
        <v>85.25</v>
      </c>
      <c r="C741" t="s">
        <v>1807</v>
      </c>
      <c r="E741" t="s">
        <v>23</v>
      </c>
      <c r="F741" t="s">
        <v>28</v>
      </c>
      <c r="G741">
        <v>2018</v>
      </c>
      <c r="H741" t="s">
        <v>863</v>
      </c>
      <c r="K741" t="s">
        <v>25</v>
      </c>
      <c r="L741" t="s">
        <v>26</v>
      </c>
      <c r="M741" t="b">
        <v>1</v>
      </c>
      <c r="N741" t="s">
        <v>44</v>
      </c>
      <c r="P741" t="s">
        <v>234</v>
      </c>
      <c r="Q741" t="b">
        <v>0</v>
      </c>
      <c r="T741" t="str">
        <f>"9780310765110"</f>
        <v>9780310765110</v>
      </c>
      <c r="U741" t="b">
        <v>0</v>
      </c>
      <c r="W741" t="b">
        <v>0</v>
      </c>
    </row>
    <row r="742" spans="1:23" x14ac:dyDescent="0.3">
      <c r="A742">
        <v>2982815</v>
      </c>
      <c r="B742">
        <v>55.17</v>
      </c>
      <c r="C742" t="s">
        <v>1808</v>
      </c>
      <c r="D742" t="s">
        <v>1570</v>
      </c>
      <c r="E742" t="s">
        <v>23</v>
      </c>
      <c r="F742" t="s">
        <v>28</v>
      </c>
      <c r="G742">
        <v>2019</v>
      </c>
      <c r="H742" t="s">
        <v>168</v>
      </c>
      <c r="K742" t="s">
        <v>25</v>
      </c>
      <c r="L742" t="s">
        <v>26</v>
      </c>
      <c r="M742" t="b">
        <v>1</v>
      </c>
      <c r="N742" t="s">
        <v>44</v>
      </c>
      <c r="P742" t="s">
        <v>234</v>
      </c>
      <c r="Q742" t="b">
        <v>0</v>
      </c>
      <c r="S742" t="str">
        <f>"9780310765097"</f>
        <v>9780310765097</v>
      </c>
      <c r="T742" t="str">
        <f>"9780310765127"</f>
        <v>9780310765127</v>
      </c>
      <c r="U742" t="b">
        <v>0</v>
      </c>
      <c r="W742" t="b">
        <v>0</v>
      </c>
    </row>
    <row r="743" spans="1:23" x14ac:dyDescent="0.3">
      <c r="A743">
        <v>2982814</v>
      </c>
      <c r="B743">
        <v>17.22</v>
      </c>
      <c r="C743" t="s">
        <v>1809</v>
      </c>
      <c r="D743" t="s">
        <v>138</v>
      </c>
      <c r="E743" t="s">
        <v>23</v>
      </c>
      <c r="F743" t="s">
        <v>28</v>
      </c>
      <c r="G743">
        <v>2011</v>
      </c>
      <c r="H743" t="s">
        <v>34</v>
      </c>
      <c r="K743" t="s">
        <v>25</v>
      </c>
      <c r="L743" t="s">
        <v>30</v>
      </c>
      <c r="M743" t="b">
        <v>1</v>
      </c>
      <c r="N743" t="s">
        <v>1810</v>
      </c>
      <c r="P743" t="s">
        <v>1811</v>
      </c>
      <c r="Q743" t="b">
        <v>1</v>
      </c>
      <c r="S743" t="str">
        <f>"9780310718086"</f>
        <v>9780310718086</v>
      </c>
      <c r="T743" t="str">
        <f>"9780310424734"</f>
        <v>9780310424734</v>
      </c>
      <c r="U743" t="b">
        <v>0</v>
      </c>
      <c r="W743" t="b">
        <v>0</v>
      </c>
    </row>
    <row r="744" spans="1:23" x14ac:dyDescent="0.3">
      <c r="A744">
        <v>2982813</v>
      </c>
      <c r="B744">
        <v>35.5</v>
      </c>
      <c r="C744" t="s">
        <v>1812</v>
      </c>
      <c r="D744" t="s">
        <v>1813</v>
      </c>
      <c r="E744" t="s">
        <v>23</v>
      </c>
      <c r="F744" t="s">
        <v>28</v>
      </c>
      <c r="G744">
        <v>2011</v>
      </c>
      <c r="H744" t="s">
        <v>91</v>
      </c>
      <c r="K744" t="s">
        <v>25</v>
      </c>
      <c r="L744" t="s">
        <v>30</v>
      </c>
      <c r="M744" t="b">
        <v>1</v>
      </c>
      <c r="N744" t="s">
        <v>175</v>
      </c>
      <c r="Q744" t="b">
        <v>1</v>
      </c>
      <c r="T744" t="str">
        <f>"9780310876939"</f>
        <v>9780310876939</v>
      </c>
      <c r="U744" t="b">
        <v>0</v>
      </c>
      <c r="W744" t="b">
        <v>0</v>
      </c>
    </row>
    <row r="745" spans="1:23" x14ac:dyDescent="0.3">
      <c r="A745">
        <v>2982812</v>
      </c>
      <c r="B745">
        <v>10.63</v>
      </c>
      <c r="C745" t="s">
        <v>1814</v>
      </c>
      <c r="D745" t="s">
        <v>138</v>
      </c>
      <c r="E745" t="s">
        <v>23</v>
      </c>
      <c r="F745" t="s">
        <v>28</v>
      </c>
      <c r="G745">
        <v>2011</v>
      </c>
      <c r="H745" t="s">
        <v>34</v>
      </c>
      <c r="K745" t="s">
        <v>25</v>
      </c>
      <c r="L745" t="s">
        <v>30</v>
      </c>
      <c r="M745" t="b">
        <v>1</v>
      </c>
      <c r="N745" t="s">
        <v>272</v>
      </c>
      <c r="P745" t="s">
        <v>1524</v>
      </c>
      <c r="Q745" t="b">
        <v>1</v>
      </c>
      <c r="T745" t="str">
        <f>"9780310424437"</f>
        <v>9780310424437</v>
      </c>
      <c r="U745" t="b">
        <v>0</v>
      </c>
      <c r="W745" t="b">
        <v>0</v>
      </c>
    </row>
    <row r="746" spans="1:23" x14ac:dyDescent="0.3">
      <c r="A746">
        <v>2982811</v>
      </c>
      <c r="B746">
        <v>28.39</v>
      </c>
      <c r="C746" t="s">
        <v>1815</v>
      </c>
      <c r="E746" t="s">
        <v>23</v>
      </c>
      <c r="F746" t="s">
        <v>28</v>
      </c>
      <c r="G746">
        <v>2011</v>
      </c>
      <c r="H746" t="s">
        <v>531</v>
      </c>
      <c r="K746" t="s">
        <v>25</v>
      </c>
      <c r="L746" t="s">
        <v>30</v>
      </c>
      <c r="M746" t="b">
        <v>1</v>
      </c>
      <c r="N746" t="s">
        <v>1794</v>
      </c>
      <c r="P746" t="s">
        <v>1795</v>
      </c>
      <c r="Q746" t="b">
        <v>0</v>
      </c>
      <c r="T746" t="str">
        <f>"9780310870524"</f>
        <v>9780310870524</v>
      </c>
      <c r="U746" t="b">
        <v>0</v>
      </c>
      <c r="W746" t="b">
        <v>0</v>
      </c>
    </row>
    <row r="747" spans="1:23" x14ac:dyDescent="0.3">
      <c r="A747">
        <v>2982810</v>
      </c>
      <c r="B747">
        <v>31.02</v>
      </c>
      <c r="C747" t="s">
        <v>1816</v>
      </c>
      <c r="E747" t="s">
        <v>23</v>
      </c>
      <c r="F747" t="s">
        <v>28</v>
      </c>
      <c r="G747">
        <v>2021</v>
      </c>
      <c r="H747" t="s">
        <v>431</v>
      </c>
      <c r="K747" t="s">
        <v>25</v>
      </c>
      <c r="L747" t="s">
        <v>26</v>
      </c>
      <c r="M747" t="b">
        <v>1</v>
      </c>
      <c r="N747" t="s">
        <v>1530</v>
      </c>
      <c r="P747" t="s">
        <v>1531</v>
      </c>
      <c r="Q747" t="b">
        <v>1</v>
      </c>
      <c r="S747" t="str">
        <f>"9780310769637"</f>
        <v>9780310769637</v>
      </c>
      <c r="T747" t="str">
        <f>"9780310769644"</f>
        <v>9780310769644</v>
      </c>
      <c r="U747" t="b">
        <v>0</v>
      </c>
      <c r="W747" t="b">
        <v>0</v>
      </c>
    </row>
    <row r="748" spans="1:23" x14ac:dyDescent="0.3">
      <c r="A748">
        <v>2982809</v>
      </c>
      <c r="B748">
        <v>17.22</v>
      </c>
      <c r="C748" t="s">
        <v>1817</v>
      </c>
      <c r="E748" t="s">
        <v>23</v>
      </c>
      <c r="F748" t="s">
        <v>28</v>
      </c>
      <c r="G748">
        <v>2011</v>
      </c>
      <c r="H748" t="s">
        <v>34</v>
      </c>
      <c r="K748" t="s">
        <v>25</v>
      </c>
      <c r="L748" t="s">
        <v>30</v>
      </c>
      <c r="M748" t="b">
        <v>1</v>
      </c>
      <c r="N748" t="s">
        <v>675</v>
      </c>
      <c r="P748" t="s">
        <v>1499</v>
      </c>
      <c r="Q748" t="b">
        <v>1</v>
      </c>
      <c r="S748" t="str">
        <f>"9780310707288"</f>
        <v>9780310707288</v>
      </c>
      <c r="T748" t="str">
        <f>"9780310424338"</f>
        <v>9780310424338</v>
      </c>
      <c r="U748" t="b">
        <v>0</v>
      </c>
      <c r="W748" t="b">
        <v>0</v>
      </c>
    </row>
    <row r="749" spans="1:23" x14ac:dyDescent="0.3">
      <c r="A749">
        <v>2982808</v>
      </c>
      <c r="B749">
        <v>17.73</v>
      </c>
      <c r="C749" t="s">
        <v>1818</v>
      </c>
      <c r="E749" t="s">
        <v>23</v>
      </c>
      <c r="F749" t="s">
        <v>28</v>
      </c>
      <c r="G749">
        <v>2009</v>
      </c>
      <c r="H749" t="s">
        <v>718</v>
      </c>
      <c r="K749" t="s">
        <v>25</v>
      </c>
      <c r="L749" t="s">
        <v>30</v>
      </c>
      <c r="M749" t="b">
        <v>1</v>
      </c>
      <c r="N749" t="s">
        <v>1378</v>
      </c>
      <c r="P749" t="s">
        <v>1379</v>
      </c>
      <c r="Q749" t="b">
        <v>1</v>
      </c>
      <c r="T749" t="str">
        <f>"9780310865728"</f>
        <v>9780310865728</v>
      </c>
      <c r="U749" t="b">
        <v>0</v>
      </c>
      <c r="W749" t="b">
        <v>0</v>
      </c>
    </row>
    <row r="750" spans="1:23" x14ac:dyDescent="0.3">
      <c r="A750">
        <v>2982807</v>
      </c>
      <c r="B750">
        <v>17.73</v>
      </c>
      <c r="C750" t="s">
        <v>1819</v>
      </c>
      <c r="E750" t="s">
        <v>23</v>
      </c>
      <c r="F750" t="s">
        <v>28</v>
      </c>
      <c r="G750">
        <v>2011</v>
      </c>
      <c r="H750" t="s">
        <v>1337</v>
      </c>
      <c r="K750" t="s">
        <v>25</v>
      </c>
      <c r="L750" t="s">
        <v>30</v>
      </c>
      <c r="M750" t="b">
        <v>1</v>
      </c>
      <c r="N750" t="s">
        <v>675</v>
      </c>
      <c r="P750" t="s">
        <v>721</v>
      </c>
      <c r="Q750" t="b">
        <v>1</v>
      </c>
      <c r="T750" t="str">
        <f>"9780310424185"</f>
        <v>9780310424185</v>
      </c>
      <c r="U750" t="b">
        <v>0</v>
      </c>
      <c r="W750" t="b">
        <v>0</v>
      </c>
    </row>
    <row r="751" spans="1:23" x14ac:dyDescent="0.3">
      <c r="A751">
        <v>2982806</v>
      </c>
      <c r="B751">
        <v>35.5</v>
      </c>
      <c r="C751" t="s">
        <v>1820</v>
      </c>
      <c r="E751" t="s">
        <v>23</v>
      </c>
      <c r="F751" t="s">
        <v>28</v>
      </c>
      <c r="G751">
        <v>2014</v>
      </c>
      <c r="H751" t="s">
        <v>1422</v>
      </c>
      <c r="K751" t="s">
        <v>25</v>
      </c>
      <c r="L751" t="s">
        <v>26</v>
      </c>
      <c r="M751" t="b">
        <v>1</v>
      </c>
      <c r="N751" t="s">
        <v>1423</v>
      </c>
      <c r="P751" t="s">
        <v>1424</v>
      </c>
      <c r="Q751" t="b">
        <v>1</v>
      </c>
      <c r="T751" t="str">
        <f>"9780310735540"</f>
        <v>9780310735540</v>
      </c>
      <c r="U751" t="b">
        <v>0</v>
      </c>
      <c r="W751" t="b">
        <v>0</v>
      </c>
    </row>
    <row r="752" spans="1:23" x14ac:dyDescent="0.3">
      <c r="A752">
        <v>2982805</v>
      </c>
      <c r="B752">
        <v>28.39</v>
      </c>
      <c r="C752" t="s">
        <v>1821</v>
      </c>
      <c r="D752" t="s">
        <v>1822</v>
      </c>
      <c r="E752" t="s">
        <v>23</v>
      </c>
      <c r="F752" t="s">
        <v>28</v>
      </c>
      <c r="G752">
        <v>2015</v>
      </c>
      <c r="H752" t="s">
        <v>1315</v>
      </c>
      <c r="K752" t="s">
        <v>25</v>
      </c>
      <c r="L752" t="s">
        <v>26</v>
      </c>
      <c r="M752" t="b">
        <v>1</v>
      </c>
      <c r="N752" t="s">
        <v>44</v>
      </c>
      <c r="P752" t="s">
        <v>1316</v>
      </c>
      <c r="Q752" t="b">
        <v>0</v>
      </c>
      <c r="T752" t="str">
        <f>"9780310744993"</f>
        <v>9780310744993</v>
      </c>
      <c r="U752" t="b">
        <v>0</v>
      </c>
      <c r="W752" t="b">
        <v>0</v>
      </c>
    </row>
    <row r="753" spans="1:23" x14ac:dyDescent="0.3">
      <c r="A753">
        <v>2982804</v>
      </c>
      <c r="B753">
        <v>51.72</v>
      </c>
      <c r="C753" t="s">
        <v>1823</v>
      </c>
      <c r="D753" t="s">
        <v>1824</v>
      </c>
      <c r="E753" t="s">
        <v>23</v>
      </c>
      <c r="F753" t="s">
        <v>28</v>
      </c>
      <c r="G753">
        <v>2016</v>
      </c>
      <c r="H753" t="s">
        <v>1825</v>
      </c>
      <c r="K753" t="s">
        <v>25</v>
      </c>
      <c r="L753" t="s">
        <v>26</v>
      </c>
      <c r="M753" t="b">
        <v>1</v>
      </c>
      <c r="N753" t="s">
        <v>1581</v>
      </c>
      <c r="P753" t="s">
        <v>84</v>
      </c>
      <c r="Q753" t="b">
        <v>0</v>
      </c>
      <c r="S753" t="str">
        <f>"9780310746133"</f>
        <v>9780310746133</v>
      </c>
      <c r="T753" t="str">
        <f>"9780310755708"</f>
        <v>9780310755708</v>
      </c>
      <c r="U753" t="b">
        <v>0</v>
      </c>
      <c r="W753" t="b">
        <v>0</v>
      </c>
    </row>
    <row r="754" spans="1:23" x14ac:dyDescent="0.3">
      <c r="A754">
        <v>2982803</v>
      </c>
      <c r="B754">
        <v>17.22</v>
      </c>
      <c r="C754" t="s">
        <v>1826</v>
      </c>
      <c r="D754" t="s">
        <v>138</v>
      </c>
      <c r="E754" t="s">
        <v>23</v>
      </c>
      <c r="F754" t="s">
        <v>28</v>
      </c>
      <c r="G754">
        <v>2011</v>
      </c>
      <c r="H754" t="s">
        <v>34</v>
      </c>
      <c r="K754" t="s">
        <v>25</v>
      </c>
      <c r="L754" t="s">
        <v>30</v>
      </c>
      <c r="M754" t="b">
        <v>1</v>
      </c>
      <c r="N754" t="s">
        <v>272</v>
      </c>
      <c r="P754" t="s">
        <v>1524</v>
      </c>
      <c r="Q754" t="b">
        <v>1</v>
      </c>
      <c r="S754" t="str">
        <f>"9780310717850"</f>
        <v>9780310717850</v>
      </c>
      <c r="T754" t="str">
        <f>"9780310424444"</f>
        <v>9780310424444</v>
      </c>
      <c r="U754" t="b">
        <v>0</v>
      </c>
      <c r="W754" t="b">
        <v>0</v>
      </c>
    </row>
    <row r="755" spans="1:23" x14ac:dyDescent="0.3">
      <c r="A755">
        <v>2982802</v>
      </c>
      <c r="B755">
        <v>49.71</v>
      </c>
      <c r="C755" t="s">
        <v>1827</v>
      </c>
      <c r="E755" t="s">
        <v>23</v>
      </c>
      <c r="F755" t="s">
        <v>28</v>
      </c>
      <c r="G755">
        <v>2010</v>
      </c>
      <c r="H755" t="s">
        <v>29</v>
      </c>
      <c r="K755" t="s">
        <v>25</v>
      </c>
      <c r="M755" t="b">
        <v>1</v>
      </c>
      <c r="N755" t="s">
        <v>272</v>
      </c>
      <c r="Q755" t="b">
        <v>1</v>
      </c>
      <c r="T755" t="str">
        <f>"9780310876700"</f>
        <v>9780310876700</v>
      </c>
      <c r="U755" t="b">
        <v>0</v>
      </c>
      <c r="W755" t="b">
        <v>0</v>
      </c>
    </row>
    <row r="756" spans="1:23" x14ac:dyDescent="0.3">
      <c r="A756">
        <v>2982801</v>
      </c>
      <c r="B756">
        <v>27.57</v>
      </c>
      <c r="C756" t="s">
        <v>1828</v>
      </c>
      <c r="E756" t="s">
        <v>23</v>
      </c>
      <c r="F756" t="s">
        <v>28</v>
      </c>
      <c r="G756">
        <v>2010</v>
      </c>
      <c r="H756" t="s">
        <v>1746</v>
      </c>
      <c r="K756" t="s">
        <v>25</v>
      </c>
      <c r="L756" t="s">
        <v>30</v>
      </c>
      <c r="M756" t="b">
        <v>1</v>
      </c>
      <c r="N756" t="s">
        <v>1346</v>
      </c>
      <c r="P756" t="s">
        <v>1347</v>
      </c>
      <c r="Q756" t="b">
        <v>1</v>
      </c>
      <c r="S756" t="str">
        <f>"9780310716914"</f>
        <v>9780310716914</v>
      </c>
      <c r="T756" t="str">
        <f>"9780310429340"</f>
        <v>9780310429340</v>
      </c>
      <c r="U756" t="b">
        <v>0</v>
      </c>
      <c r="W756" t="b">
        <v>0</v>
      </c>
    </row>
    <row r="757" spans="1:23" x14ac:dyDescent="0.3">
      <c r="A757">
        <v>2982800</v>
      </c>
      <c r="B757">
        <v>17.22</v>
      </c>
      <c r="C757" t="s">
        <v>1829</v>
      </c>
      <c r="E757" t="s">
        <v>23</v>
      </c>
      <c r="F757" t="s">
        <v>28</v>
      </c>
      <c r="G757">
        <v>2011</v>
      </c>
      <c r="H757" t="s">
        <v>34</v>
      </c>
      <c r="K757" t="s">
        <v>25</v>
      </c>
      <c r="L757" t="s">
        <v>30</v>
      </c>
      <c r="M757" t="b">
        <v>1</v>
      </c>
      <c r="N757" t="s">
        <v>1830</v>
      </c>
      <c r="P757" t="s">
        <v>1499</v>
      </c>
      <c r="Q757" t="b">
        <v>1</v>
      </c>
      <c r="S757" t="str">
        <f>"9780310704676"</f>
        <v>9780310704676</v>
      </c>
      <c r="T757" t="str">
        <f>"9780310424277"</f>
        <v>9780310424277</v>
      </c>
      <c r="U757" t="b">
        <v>0</v>
      </c>
      <c r="W757" t="b">
        <v>0</v>
      </c>
    </row>
    <row r="758" spans="1:23" x14ac:dyDescent="0.3">
      <c r="A758">
        <v>2982799</v>
      </c>
      <c r="B758">
        <v>17.22</v>
      </c>
      <c r="C758" t="s">
        <v>1831</v>
      </c>
      <c r="D758" t="s">
        <v>93</v>
      </c>
      <c r="E758" t="s">
        <v>23</v>
      </c>
      <c r="F758" t="s">
        <v>28</v>
      </c>
      <c r="G758">
        <v>2010</v>
      </c>
      <c r="H758" t="s">
        <v>34</v>
      </c>
      <c r="K758" t="s">
        <v>25</v>
      </c>
      <c r="L758" t="s">
        <v>30</v>
      </c>
      <c r="M758" t="b">
        <v>1</v>
      </c>
      <c r="N758" t="s">
        <v>275</v>
      </c>
      <c r="P758" t="s">
        <v>1414</v>
      </c>
      <c r="Q758" t="b">
        <v>1</v>
      </c>
      <c r="S758" t="str">
        <f>"9780310717409"</f>
        <v>9780310717409</v>
      </c>
      <c r="T758" t="str">
        <f>"9780310868675"</f>
        <v>9780310868675</v>
      </c>
      <c r="U758" t="b">
        <v>0</v>
      </c>
      <c r="W758" t="b">
        <v>0</v>
      </c>
    </row>
    <row r="759" spans="1:23" x14ac:dyDescent="0.3">
      <c r="A759">
        <v>2982798</v>
      </c>
      <c r="B759">
        <v>17.73</v>
      </c>
      <c r="C759" t="s">
        <v>1832</v>
      </c>
      <c r="E759" t="s">
        <v>23</v>
      </c>
      <c r="F759" t="s">
        <v>28</v>
      </c>
      <c r="G759">
        <v>2009</v>
      </c>
      <c r="H759" t="s">
        <v>718</v>
      </c>
      <c r="K759" t="s">
        <v>25</v>
      </c>
      <c r="L759" t="s">
        <v>30</v>
      </c>
      <c r="M759" t="b">
        <v>1</v>
      </c>
      <c r="N759" t="s">
        <v>83</v>
      </c>
      <c r="P759" t="s">
        <v>1624</v>
      </c>
      <c r="Q759" t="b">
        <v>1</v>
      </c>
      <c r="S759" t="str">
        <f>"9780310718437"</f>
        <v>9780310718437</v>
      </c>
      <c r="T759" t="str">
        <f>"9780310568476"</f>
        <v>9780310568476</v>
      </c>
      <c r="U759" t="b">
        <v>0</v>
      </c>
      <c r="W759" t="b">
        <v>0</v>
      </c>
    </row>
    <row r="760" spans="1:23" x14ac:dyDescent="0.3">
      <c r="A760">
        <v>2982797</v>
      </c>
      <c r="B760">
        <v>17.73</v>
      </c>
      <c r="C760" t="s">
        <v>1833</v>
      </c>
      <c r="E760" t="s">
        <v>23</v>
      </c>
      <c r="F760" t="s">
        <v>28</v>
      </c>
      <c r="G760">
        <v>2009</v>
      </c>
      <c r="H760" t="s">
        <v>718</v>
      </c>
      <c r="K760" t="s">
        <v>25</v>
      </c>
      <c r="L760" t="s">
        <v>30</v>
      </c>
      <c r="M760" t="b">
        <v>1</v>
      </c>
      <c r="N760" t="s">
        <v>1378</v>
      </c>
      <c r="P760" t="s">
        <v>1379</v>
      </c>
      <c r="Q760" t="b">
        <v>1</v>
      </c>
      <c r="T760" t="str">
        <f>"9780310866626"</f>
        <v>9780310866626</v>
      </c>
      <c r="U760" t="b">
        <v>0</v>
      </c>
      <c r="W760" t="b">
        <v>0</v>
      </c>
    </row>
    <row r="761" spans="1:23" x14ac:dyDescent="0.3">
      <c r="A761">
        <v>2982796</v>
      </c>
      <c r="B761">
        <v>34.47</v>
      </c>
      <c r="C761" t="s">
        <v>1834</v>
      </c>
      <c r="D761" t="s">
        <v>1397</v>
      </c>
      <c r="E761" t="s">
        <v>23</v>
      </c>
      <c r="F761" t="s">
        <v>28</v>
      </c>
      <c r="G761">
        <v>2016</v>
      </c>
      <c r="H761" t="s">
        <v>168</v>
      </c>
      <c r="K761" t="s">
        <v>25</v>
      </c>
      <c r="L761" t="s">
        <v>26</v>
      </c>
      <c r="M761" t="b">
        <v>1</v>
      </c>
      <c r="N761" t="s">
        <v>1835</v>
      </c>
      <c r="P761" t="s">
        <v>84</v>
      </c>
      <c r="Q761" t="b">
        <v>0</v>
      </c>
      <c r="S761" t="str">
        <f>"9780310707189"</f>
        <v>9780310707189</v>
      </c>
      <c r="T761" t="str">
        <f>"9780310755173"</f>
        <v>9780310755173</v>
      </c>
      <c r="U761" t="b">
        <v>0</v>
      </c>
      <c r="W761" t="b">
        <v>0</v>
      </c>
    </row>
    <row r="762" spans="1:23" x14ac:dyDescent="0.3">
      <c r="A762">
        <v>2982795</v>
      </c>
      <c r="B762">
        <v>42.61</v>
      </c>
      <c r="C762" t="s">
        <v>1836</v>
      </c>
      <c r="E762" t="s">
        <v>23</v>
      </c>
      <c r="F762" t="s">
        <v>28</v>
      </c>
      <c r="G762">
        <v>2011</v>
      </c>
      <c r="H762" t="s">
        <v>1315</v>
      </c>
      <c r="K762" t="s">
        <v>25</v>
      </c>
      <c r="L762" t="s">
        <v>30</v>
      </c>
      <c r="M762" t="b">
        <v>1</v>
      </c>
      <c r="N762" t="s">
        <v>44</v>
      </c>
      <c r="P762" t="s">
        <v>36</v>
      </c>
      <c r="Q762" t="b">
        <v>0</v>
      </c>
      <c r="T762" t="str">
        <f>"9780310728870"</f>
        <v>9780310728870</v>
      </c>
      <c r="U762" t="b">
        <v>0</v>
      </c>
      <c r="W762" t="b">
        <v>0</v>
      </c>
    </row>
    <row r="763" spans="1:23" x14ac:dyDescent="0.3">
      <c r="A763">
        <v>2982794</v>
      </c>
      <c r="B763">
        <v>14.18</v>
      </c>
      <c r="C763" t="s">
        <v>1837</v>
      </c>
      <c r="E763" t="s">
        <v>23</v>
      </c>
      <c r="F763" t="s">
        <v>28</v>
      </c>
      <c r="G763">
        <v>2010</v>
      </c>
      <c r="H763" t="s">
        <v>704</v>
      </c>
      <c r="K763" t="s">
        <v>25</v>
      </c>
      <c r="L763" t="s">
        <v>30</v>
      </c>
      <c r="M763" t="b">
        <v>1</v>
      </c>
      <c r="N763" t="s">
        <v>1592</v>
      </c>
      <c r="P763" t="s">
        <v>1593</v>
      </c>
      <c r="Q763" t="b">
        <v>1</v>
      </c>
      <c r="S763" t="str">
        <f>"9780310715962"</f>
        <v>9780310715962</v>
      </c>
      <c r="T763" t="str">
        <f>"9780310423829"</f>
        <v>9780310423829</v>
      </c>
      <c r="U763" t="b">
        <v>0</v>
      </c>
      <c r="W763" t="b">
        <v>0</v>
      </c>
    </row>
    <row r="764" spans="1:23" x14ac:dyDescent="0.3">
      <c r="A764">
        <v>2982793</v>
      </c>
      <c r="B764">
        <v>3.52</v>
      </c>
      <c r="C764" t="s">
        <v>1838</v>
      </c>
      <c r="E764" t="s">
        <v>23</v>
      </c>
      <c r="F764" t="s">
        <v>28</v>
      </c>
      <c r="G764">
        <v>2020</v>
      </c>
      <c r="H764" t="s">
        <v>707</v>
      </c>
      <c r="I764" t="s">
        <v>1839</v>
      </c>
      <c r="J764" t="s">
        <v>1840</v>
      </c>
      <c r="K764" t="s">
        <v>25</v>
      </c>
      <c r="L764" t="s">
        <v>26</v>
      </c>
      <c r="M764" t="b">
        <v>1</v>
      </c>
      <c r="N764" t="s">
        <v>1697</v>
      </c>
      <c r="O764" t="str">
        <f>"[Fic]"</f>
        <v>[Fic]</v>
      </c>
      <c r="P764" t="s">
        <v>1698</v>
      </c>
      <c r="Q764" t="b">
        <v>1</v>
      </c>
      <c r="T764" t="str">
        <f>"9780310735144"</f>
        <v>9780310735144</v>
      </c>
      <c r="U764" t="b">
        <v>0</v>
      </c>
      <c r="W764" t="b">
        <v>0</v>
      </c>
    </row>
    <row r="765" spans="1:23" x14ac:dyDescent="0.3">
      <c r="A765">
        <v>2982792</v>
      </c>
      <c r="B765">
        <v>17.22</v>
      </c>
      <c r="C765" t="s">
        <v>1841</v>
      </c>
      <c r="D765" t="s">
        <v>143</v>
      </c>
      <c r="E765" t="s">
        <v>23</v>
      </c>
      <c r="F765" t="s">
        <v>28</v>
      </c>
      <c r="G765">
        <v>2009</v>
      </c>
      <c r="H765" t="s">
        <v>34</v>
      </c>
      <c r="K765" t="s">
        <v>25</v>
      </c>
      <c r="L765" t="s">
        <v>30</v>
      </c>
      <c r="M765" t="b">
        <v>1</v>
      </c>
      <c r="N765" t="s">
        <v>1504</v>
      </c>
      <c r="P765" t="s">
        <v>1505</v>
      </c>
      <c r="Q765" t="b">
        <v>1</v>
      </c>
      <c r="S765" t="str">
        <f>"9780310715870"</f>
        <v>9780310715870</v>
      </c>
      <c r="T765" t="str">
        <f>"9780310868729"</f>
        <v>9780310868729</v>
      </c>
      <c r="U765" t="b">
        <v>0</v>
      </c>
      <c r="W765" t="b">
        <v>0</v>
      </c>
    </row>
    <row r="766" spans="1:23" x14ac:dyDescent="0.3">
      <c r="A766">
        <v>2982791</v>
      </c>
      <c r="B766">
        <v>27.57</v>
      </c>
      <c r="C766" t="s">
        <v>1842</v>
      </c>
      <c r="E766" t="s">
        <v>23</v>
      </c>
      <c r="F766" t="s">
        <v>28</v>
      </c>
      <c r="G766">
        <v>2011</v>
      </c>
      <c r="H766" t="s">
        <v>1337</v>
      </c>
      <c r="K766" t="s">
        <v>25</v>
      </c>
      <c r="L766" t="s">
        <v>30</v>
      </c>
      <c r="M766" t="b">
        <v>1</v>
      </c>
      <c r="N766" t="s">
        <v>1338</v>
      </c>
      <c r="P766" t="s">
        <v>1339</v>
      </c>
      <c r="Q766" t="b">
        <v>1</v>
      </c>
      <c r="S766" t="str">
        <f>"9780310720959"</f>
        <v>9780310720959</v>
      </c>
      <c r="T766" t="str">
        <f>"9780310399667"</f>
        <v>9780310399667</v>
      </c>
      <c r="U766" t="b">
        <v>0</v>
      </c>
      <c r="W766" t="b">
        <v>0</v>
      </c>
    </row>
    <row r="767" spans="1:23" x14ac:dyDescent="0.3">
      <c r="A767">
        <v>2982790</v>
      </c>
      <c r="B767">
        <v>31.02</v>
      </c>
      <c r="C767" t="s">
        <v>1843</v>
      </c>
      <c r="E767" t="s">
        <v>23</v>
      </c>
      <c r="F767" t="s">
        <v>28</v>
      </c>
      <c r="G767">
        <v>2014</v>
      </c>
      <c r="H767" t="s">
        <v>1337</v>
      </c>
      <c r="K767" t="s">
        <v>25</v>
      </c>
      <c r="L767" t="s">
        <v>30</v>
      </c>
      <c r="M767" t="b">
        <v>1</v>
      </c>
      <c r="N767" t="s">
        <v>1784</v>
      </c>
      <c r="P767" t="s">
        <v>1785</v>
      </c>
      <c r="Q767" t="b">
        <v>1</v>
      </c>
      <c r="S767" t="str">
        <f>"9780310742470"</f>
        <v>9780310742470</v>
      </c>
      <c r="T767" t="str">
        <f>"9780310742487"</f>
        <v>9780310742487</v>
      </c>
      <c r="U767" t="b">
        <v>0</v>
      </c>
      <c r="W767" t="b">
        <v>0</v>
      </c>
    </row>
    <row r="768" spans="1:23" x14ac:dyDescent="0.3">
      <c r="A768">
        <v>2982789</v>
      </c>
      <c r="B768">
        <v>31.02</v>
      </c>
      <c r="C768" t="s">
        <v>1844</v>
      </c>
      <c r="E768" t="s">
        <v>23</v>
      </c>
      <c r="F768" t="s">
        <v>28</v>
      </c>
      <c r="G768">
        <v>2020</v>
      </c>
      <c r="H768" t="s">
        <v>236</v>
      </c>
      <c r="K768" t="s">
        <v>25</v>
      </c>
      <c r="L768" t="s">
        <v>26</v>
      </c>
      <c r="M768" t="b">
        <v>1</v>
      </c>
      <c r="N768" t="s">
        <v>1530</v>
      </c>
      <c r="P768" t="s">
        <v>1531</v>
      </c>
      <c r="Q768" t="b">
        <v>1</v>
      </c>
      <c r="S768" t="str">
        <f>"9780310769613"</f>
        <v>9780310769613</v>
      </c>
      <c r="T768" t="str">
        <f>"9780310769620"</f>
        <v>9780310769620</v>
      </c>
      <c r="U768" t="b">
        <v>0</v>
      </c>
      <c r="W768" t="b">
        <v>0</v>
      </c>
    </row>
    <row r="769" spans="1:23" x14ac:dyDescent="0.3">
      <c r="A769">
        <v>2982788</v>
      </c>
      <c r="B769">
        <v>42.61</v>
      </c>
      <c r="C769" t="s">
        <v>1845</v>
      </c>
      <c r="E769" t="s">
        <v>23</v>
      </c>
      <c r="F769" t="s">
        <v>28</v>
      </c>
      <c r="G769">
        <v>2010</v>
      </c>
      <c r="H769" t="s">
        <v>714</v>
      </c>
      <c r="K769" t="s">
        <v>25</v>
      </c>
      <c r="L769" t="s">
        <v>30</v>
      </c>
      <c r="M769" t="b">
        <v>1</v>
      </c>
      <c r="N769" t="s">
        <v>1805</v>
      </c>
      <c r="Q769" t="b">
        <v>1</v>
      </c>
      <c r="T769" t="str">
        <f>"9780310870449"</f>
        <v>9780310870449</v>
      </c>
      <c r="U769" t="b">
        <v>0</v>
      </c>
      <c r="W769" t="b">
        <v>0</v>
      </c>
    </row>
    <row r="770" spans="1:23" x14ac:dyDescent="0.3">
      <c r="A770">
        <v>2982787</v>
      </c>
      <c r="B770">
        <v>46.16</v>
      </c>
      <c r="C770" t="s">
        <v>1846</v>
      </c>
      <c r="D770" t="s">
        <v>1847</v>
      </c>
      <c r="E770" t="s">
        <v>23</v>
      </c>
      <c r="F770" t="s">
        <v>28</v>
      </c>
      <c r="G770">
        <v>2015</v>
      </c>
      <c r="H770" t="s">
        <v>1848</v>
      </c>
      <c r="K770" t="s">
        <v>25</v>
      </c>
      <c r="L770" t="s">
        <v>30</v>
      </c>
      <c r="M770" t="b">
        <v>1</v>
      </c>
      <c r="N770" t="s">
        <v>1849</v>
      </c>
      <c r="Q770" t="b">
        <v>0</v>
      </c>
      <c r="S770" t="str">
        <f>"9780310749929"</f>
        <v>9780310749929</v>
      </c>
      <c r="T770" t="str">
        <f>"9780310745488"</f>
        <v>9780310745488</v>
      </c>
      <c r="U770" t="b">
        <v>0</v>
      </c>
      <c r="W770" t="b">
        <v>0</v>
      </c>
    </row>
    <row r="771" spans="1:23" x14ac:dyDescent="0.3">
      <c r="A771">
        <v>2982786</v>
      </c>
      <c r="B771">
        <v>24.84</v>
      </c>
      <c r="C771" t="s">
        <v>1850</v>
      </c>
      <c r="E771" t="s">
        <v>23</v>
      </c>
      <c r="F771" t="s">
        <v>28</v>
      </c>
      <c r="G771">
        <v>2012</v>
      </c>
      <c r="H771" t="s">
        <v>718</v>
      </c>
      <c r="K771" t="s">
        <v>25</v>
      </c>
      <c r="L771" t="s">
        <v>30</v>
      </c>
      <c r="M771" t="b">
        <v>1</v>
      </c>
      <c r="N771" t="s">
        <v>408</v>
      </c>
      <c r="P771" t="s">
        <v>1587</v>
      </c>
      <c r="Q771" t="b">
        <v>1</v>
      </c>
      <c r="T771" t="str">
        <f>"9780310730514"</f>
        <v>9780310730514</v>
      </c>
      <c r="U771" t="b">
        <v>0</v>
      </c>
      <c r="W771" t="b">
        <v>0</v>
      </c>
    </row>
    <row r="772" spans="1:23" x14ac:dyDescent="0.3">
      <c r="A772">
        <v>2982785</v>
      </c>
      <c r="B772">
        <v>34.47</v>
      </c>
      <c r="C772" t="s">
        <v>1851</v>
      </c>
      <c r="E772" t="s">
        <v>23</v>
      </c>
      <c r="F772" t="s">
        <v>28</v>
      </c>
      <c r="G772">
        <v>2011</v>
      </c>
      <c r="H772" t="s">
        <v>168</v>
      </c>
      <c r="K772" t="s">
        <v>25</v>
      </c>
      <c r="L772" t="s">
        <v>30</v>
      </c>
      <c r="M772" t="b">
        <v>1</v>
      </c>
      <c r="N772" t="s">
        <v>146</v>
      </c>
      <c r="P772" t="s">
        <v>146</v>
      </c>
      <c r="Q772" t="b">
        <v>0</v>
      </c>
      <c r="S772" t="str">
        <f>"9780310755371"</f>
        <v>9780310755371</v>
      </c>
      <c r="T772" t="str">
        <f>"9780310726968"</f>
        <v>9780310726968</v>
      </c>
      <c r="U772" t="b">
        <v>0</v>
      </c>
      <c r="W772" t="b">
        <v>0</v>
      </c>
    </row>
    <row r="773" spans="1:23" x14ac:dyDescent="0.3">
      <c r="A773">
        <v>2982784</v>
      </c>
      <c r="B773">
        <v>53.27</v>
      </c>
      <c r="C773" t="s">
        <v>1852</v>
      </c>
      <c r="E773" t="s">
        <v>23</v>
      </c>
      <c r="F773" t="s">
        <v>28</v>
      </c>
      <c r="G773">
        <v>2012</v>
      </c>
      <c r="H773" t="s">
        <v>863</v>
      </c>
      <c r="K773" t="s">
        <v>25</v>
      </c>
      <c r="L773" t="s">
        <v>30</v>
      </c>
      <c r="M773" t="b">
        <v>1</v>
      </c>
      <c r="N773" t="s">
        <v>44</v>
      </c>
      <c r="Q773" t="b">
        <v>0</v>
      </c>
      <c r="S773" t="str">
        <f>"9780310723080"</f>
        <v>9780310723080</v>
      </c>
      <c r="T773" t="str">
        <f>"9780310426547"</f>
        <v>9780310426547</v>
      </c>
      <c r="U773" t="b">
        <v>0</v>
      </c>
      <c r="V773" t="s">
        <v>1775</v>
      </c>
      <c r="W773" t="b">
        <v>0</v>
      </c>
    </row>
    <row r="774" spans="1:23" x14ac:dyDescent="0.3">
      <c r="A774">
        <v>2982783</v>
      </c>
      <c r="B774">
        <v>35.5</v>
      </c>
      <c r="C774" t="s">
        <v>1853</v>
      </c>
      <c r="E774" t="s">
        <v>23</v>
      </c>
      <c r="F774" t="s">
        <v>28</v>
      </c>
      <c r="G774">
        <v>2010</v>
      </c>
      <c r="H774" t="s">
        <v>41</v>
      </c>
      <c r="K774" t="s">
        <v>25</v>
      </c>
      <c r="L774" t="s">
        <v>30</v>
      </c>
      <c r="M774" t="b">
        <v>1</v>
      </c>
      <c r="N774" t="s">
        <v>1854</v>
      </c>
      <c r="Q774" t="b">
        <v>1</v>
      </c>
      <c r="T774" t="str">
        <f>"9780310424086"</f>
        <v>9780310424086</v>
      </c>
      <c r="U774" t="b">
        <v>0</v>
      </c>
      <c r="W774" t="b">
        <v>0</v>
      </c>
    </row>
    <row r="775" spans="1:23" x14ac:dyDescent="0.3">
      <c r="A775">
        <v>2982782</v>
      </c>
      <c r="B775">
        <v>24.12</v>
      </c>
      <c r="C775" t="s">
        <v>1855</v>
      </c>
      <c r="E775" t="s">
        <v>23</v>
      </c>
      <c r="F775" t="s">
        <v>28</v>
      </c>
      <c r="G775">
        <v>2009</v>
      </c>
      <c r="H775" t="s">
        <v>716</v>
      </c>
      <c r="K775" t="s">
        <v>25</v>
      </c>
      <c r="L775" t="s">
        <v>30</v>
      </c>
      <c r="M775" t="b">
        <v>1</v>
      </c>
      <c r="N775" t="s">
        <v>1856</v>
      </c>
      <c r="P775" t="s">
        <v>1857</v>
      </c>
      <c r="Q775" t="b">
        <v>1</v>
      </c>
      <c r="S775" t="str">
        <f>"9780310711940"</f>
        <v>9780310711940</v>
      </c>
      <c r="T775" t="str">
        <f>"9780310866077"</f>
        <v>9780310866077</v>
      </c>
      <c r="U775" t="b">
        <v>0</v>
      </c>
      <c r="W775" t="b">
        <v>0</v>
      </c>
    </row>
    <row r="776" spans="1:23" x14ac:dyDescent="0.3">
      <c r="A776">
        <v>2982781</v>
      </c>
      <c r="B776">
        <v>37.92</v>
      </c>
      <c r="C776" t="s">
        <v>1858</v>
      </c>
      <c r="E776" t="s">
        <v>23</v>
      </c>
      <c r="F776" t="s">
        <v>28</v>
      </c>
      <c r="G776">
        <v>2013</v>
      </c>
      <c r="H776" t="s">
        <v>1603</v>
      </c>
      <c r="K776" t="s">
        <v>25</v>
      </c>
      <c r="L776" t="s">
        <v>30</v>
      </c>
      <c r="M776" t="b">
        <v>1</v>
      </c>
      <c r="N776" t="s">
        <v>1604</v>
      </c>
      <c r="P776" t="s">
        <v>1605</v>
      </c>
      <c r="Q776" t="b">
        <v>1</v>
      </c>
      <c r="S776" t="str">
        <f>"9780310726197"</f>
        <v>9780310726197</v>
      </c>
      <c r="T776" t="str">
        <f>"9780310726203"</f>
        <v>9780310726203</v>
      </c>
      <c r="U776" t="b">
        <v>0</v>
      </c>
      <c r="W776" t="b">
        <v>0</v>
      </c>
    </row>
    <row r="777" spans="1:23" x14ac:dyDescent="0.3">
      <c r="A777">
        <v>2982780</v>
      </c>
      <c r="B777">
        <v>24.12</v>
      </c>
      <c r="C777" t="s">
        <v>1859</v>
      </c>
      <c r="D777" t="s">
        <v>1860</v>
      </c>
      <c r="E777" t="s">
        <v>23</v>
      </c>
      <c r="F777" t="s">
        <v>28</v>
      </c>
      <c r="G777">
        <v>2012</v>
      </c>
      <c r="H777" t="s">
        <v>710</v>
      </c>
      <c r="K777" t="s">
        <v>25</v>
      </c>
      <c r="L777" t="s">
        <v>30</v>
      </c>
      <c r="M777" t="b">
        <v>1</v>
      </c>
      <c r="N777" t="s">
        <v>1321</v>
      </c>
      <c r="P777" t="s">
        <v>1322</v>
      </c>
      <c r="Q777" t="b">
        <v>0</v>
      </c>
      <c r="S777" t="str">
        <f>"9780310735236"</f>
        <v>9780310735236</v>
      </c>
      <c r="T777" t="str">
        <f>"9780310735267"</f>
        <v>9780310735267</v>
      </c>
      <c r="U777" t="b">
        <v>0</v>
      </c>
      <c r="W777" t="b">
        <v>0</v>
      </c>
    </row>
    <row r="778" spans="1:23" x14ac:dyDescent="0.3">
      <c r="A778">
        <v>2982779</v>
      </c>
      <c r="B778">
        <v>51.72</v>
      </c>
      <c r="C778" t="s">
        <v>1861</v>
      </c>
      <c r="D778" t="s">
        <v>1862</v>
      </c>
      <c r="E778" t="s">
        <v>23</v>
      </c>
      <c r="F778" t="s">
        <v>28</v>
      </c>
      <c r="G778">
        <v>2016</v>
      </c>
      <c r="H778" t="s">
        <v>1863</v>
      </c>
      <c r="K778" t="s">
        <v>25</v>
      </c>
      <c r="L778" t="s">
        <v>26</v>
      </c>
      <c r="M778" t="b">
        <v>1</v>
      </c>
      <c r="N778" t="s">
        <v>1535</v>
      </c>
      <c r="P778" t="s">
        <v>84</v>
      </c>
      <c r="Q778" t="b">
        <v>0</v>
      </c>
      <c r="S778" t="str">
        <f>"9780310746225"</f>
        <v>9780310746225</v>
      </c>
      <c r="T778" t="str">
        <f>"9780310755661"</f>
        <v>9780310755661</v>
      </c>
      <c r="U778" t="b">
        <v>0</v>
      </c>
      <c r="W778" t="b">
        <v>0</v>
      </c>
    </row>
    <row r="779" spans="1:23" x14ac:dyDescent="0.3">
      <c r="A779">
        <v>2982778</v>
      </c>
      <c r="B779">
        <v>27.57</v>
      </c>
      <c r="C779" t="s">
        <v>1864</v>
      </c>
      <c r="E779" t="s">
        <v>23</v>
      </c>
      <c r="F779" t="s">
        <v>28</v>
      </c>
      <c r="G779">
        <v>2011</v>
      </c>
      <c r="H779" t="s">
        <v>718</v>
      </c>
      <c r="K779" t="s">
        <v>25</v>
      </c>
      <c r="L779" t="s">
        <v>30</v>
      </c>
      <c r="M779" t="b">
        <v>1</v>
      </c>
      <c r="N779" t="s">
        <v>1553</v>
      </c>
      <c r="P779" t="s">
        <v>1554</v>
      </c>
      <c r="Q779" t="b">
        <v>1</v>
      </c>
      <c r="S779" t="str">
        <f>"9780310726623"</f>
        <v>9780310726623</v>
      </c>
      <c r="T779" t="str">
        <f>"9780310726630"</f>
        <v>9780310726630</v>
      </c>
      <c r="U779" t="b">
        <v>0</v>
      </c>
      <c r="W779" t="b">
        <v>0</v>
      </c>
    </row>
    <row r="780" spans="1:23" x14ac:dyDescent="0.3">
      <c r="A780">
        <v>2982777</v>
      </c>
      <c r="B780">
        <v>17.73</v>
      </c>
      <c r="C780" t="s">
        <v>1865</v>
      </c>
      <c r="E780" t="s">
        <v>23</v>
      </c>
      <c r="F780" t="s">
        <v>28</v>
      </c>
      <c r="G780">
        <v>2010</v>
      </c>
      <c r="H780" t="s">
        <v>1656</v>
      </c>
      <c r="K780" t="s">
        <v>25</v>
      </c>
      <c r="L780" t="s">
        <v>30</v>
      </c>
      <c r="M780" t="b">
        <v>1</v>
      </c>
      <c r="N780" t="s">
        <v>1657</v>
      </c>
      <c r="P780" t="s">
        <v>1658</v>
      </c>
      <c r="Q780" t="b">
        <v>1</v>
      </c>
      <c r="T780" t="str">
        <f>"9780310870593"</f>
        <v>9780310870593</v>
      </c>
      <c r="U780" t="b">
        <v>0</v>
      </c>
      <c r="W780" t="b">
        <v>0</v>
      </c>
    </row>
    <row r="781" spans="1:23" x14ac:dyDescent="0.3">
      <c r="A781">
        <v>2982776</v>
      </c>
      <c r="B781">
        <v>24.12</v>
      </c>
      <c r="C781" t="s">
        <v>1866</v>
      </c>
      <c r="E781" t="s">
        <v>23</v>
      </c>
      <c r="F781" t="s">
        <v>28</v>
      </c>
      <c r="G781">
        <v>2016</v>
      </c>
      <c r="H781" t="s">
        <v>1694</v>
      </c>
      <c r="K781" t="s">
        <v>25</v>
      </c>
      <c r="L781" t="s">
        <v>26</v>
      </c>
      <c r="M781" t="b">
        <v>1</v>
      </c>
      <c r="N781" t="s">
        <v>1695</v>
      </c>
      <c r="Q781" t="b">
        <v>1</v>
      </c>
      <c r="S781" t="str">
        <f>"9780310754794"</f>
        <v>9780310754794</v>
      </c>
      <c r="T781" t="str">
        <f>"9780310754763"</f>
        <v>9780310754763</v>
      </c>
      <c r="U781" t="b">
        <v>0</v>
      </c>
      <c r="W781" t="b">
        <v>0</v>
      </c>
    </row>
    <row r="782" spans="1:23" x14ac:dyDescent="0.3">
      <c r="A782">
        <v>2982775</v>
      </c>
      <c r="B782">
        <v>24.12</v>
      </c>
      <c r="C782" t="s">
        <v>1867</v>
      </c>
      <c r="D782" t="s">
        <v>1868</v>
      </c>
      <c r="E782" t="s">
        <v>23</v>
      </c>
      <c r="F782" t="s">
        <v>28</v>
      </c>
      <c r="G782">
        <v>2012</v>
      </c>
      <c r="H782" t="s">
        <v>710</v>
      </c>
      <c r="K782" t="s">
        <v>25</v>
      </c>
      <c r="L782" t="s">
        <v>30</v>
      </c>
      <c r="M782" t="b">
        <v>1</v>
      </c>
      <c r="N782" t="s">
        <v>1869</v>
      </c>
      <c r="P782" t="s">
        <v>1322</v>
      </c>
      <c r="Q782" t="b">
        <v>0</v>
      </c>
      <c r="S782" t="str">
        <f>"9780310725428"</f>
        <v>9780310725428</v>
      </c>
      <c r="T782" t="str">
        <f>"9780310725435"</f>
        <v>9780310725435</v>
      </c>
      <c r="U782" t="b">
        <v>0</v>
      </c>
      <c r="W782" t="b">
        <v>0</v>
      </c>
    </row>
    <row r="783" spans="1:23" x14ac:dyDescent="0.3">
      <c r="A783">
        <v>2982774</v>
      </c>
      <c r="B783">
        <v>44.82</v>
      </c>
      <c r="C783" t="s">
        <v>1870</v>
      </c>
      <c r="D783" t="s">
        <v>1871</v>
      </c>
      <c r="E783" t="s">
        <v>23</v>
      </c>
      <c r="F783" t="s">
        <v>28</v>
      </c>
      <c r="G783">
        <v>2011</v>
      </c>
      <c r="H783" t="s">
        <v>1411</v>
      </c>
      <c r="K783" t="s">
        <v>25</v>
      </c>
      <c r="L783" t="s">
        <v>30</v>
      </c>
      <c r="M783" t="b">
        <v>1</v>
      </c>
      <c r="N783" t="s">
        <v>1872</v>
      </c>
      <c r="Q783" t="b">
        <v>0</v>
      </c>
      <c r="S783" t="str">
        <f>"9780310732914"</f>
        <v>9780310732914</v>
      </c>
      <c r="T783" t="str">
        <f>"9780310723479"</f>
        <v>9780310723479</v>
      </c>
      <c r="U783" t="b">
        <v>0</v>
      </c>
      <c r="W783" t="b">
        <v>0</v>
      </c>
    </row>
    <row r="784" spans="1:23" x14ac:dyDescent="0.3">
      <c r="A784">
        <v>2982773</v>
      </c>
      <c r="B784">
        <v>60.37</v>
      </c>
      <c r="C784" t="s">
        <v>1873</v>
      </c>
      <c r="D784" t="s">
        <v>1874</v>
      </c>
      <c r="E784" t="s">
        <v>23</v>
      </c>
      <c r="F784" t="s">
        <v>28</v>
      </c>
      <c r="G784">
        <v>2016</v>
      </c>
      <c r="H784" t="s">
        <v>718</v>
      </c>
      <c r="K784" t="s">
        <v>25</v>
      </c>
      <c r="L784" t="s">
        <v>30</v>
      </c>
      <c r="M784" t="b">
        <v>1</v>
      </c>
      <c r="N784" t="s">
        <v>408</v>
      </c>
      <c r="P784" t="s">
        <v>1875</v>
      </c>
      <c r="Q784" t="b">
        <v>1</v>
      </c>
      <c r="T784" t="str">
        <f>"9780310754039"</f>
        <v>9780310754039</v>
      </c>
      <c r="U784" t="b">
        <v>0</v>
      </c>
      <c r="W784" t="b">
        <v>0</v>
      </c>
    </row>
    <row r="785" spans="1:23" x14ac:dyDescent="0.3">
      <c r="A785">
        <v>2982772</v>
      </c>
      <c r="B785">
        <v>35.5</v>
      </c>
      <c r="C785" t="s">
        <v>1876</v>
      </c>
      <c r="D785" t="s">
        <v>1877</v>
      </c>
      <c r="E785" t="s">
        <v>23</v>
      </c>
      <c r="F785" t="s">
        <v>28</v>
      </c>
      <c r="G785">
        <v>2013</v>
      </c>
      <c r="H785" t="s">
        <v>128</v>
      </c>
      <c r="K785" t="s">
        <v>25</v>
      </c>
      <c r="L785" t="s">
        <v>30</v>
      </c>
      <c r="M785" t="b">
        <v>1</v>
      </c>
      <c r="N785" t="s">
        <v>1878</v>
      </c>
      <c r="Q785" t="b">
        <v>0</v>
      </c>
      <c r="T785" t="str">
        <f>"9780310745266"</f>
        <v>9780310745266</v>
      </c>
      <c r="U785" t="b">
        <v>0</v>
      </c>
      <c r="W785" t="b">
        <v>0</v>
      </c>
    </row>
    <row r="786" spans="1:23" x14ac:dyDescent="0.3">
      <c r="A786">
        <v>2982771</v>
      </c>
      <c r="B786">
        <v>3.52</v>
      </c>
      <c r="C786" t="s">
        <v>1879</v>
      </c>
      <c r="D786" t="s">
        <v>218</v>
      </c>
      <c r="E786" t="s">
        <v>23</v>
      </c>
      <c r="F786" t="s">
        <v>28</v>
      </c>
      <c r="G786">
        <v>2020</v>
      </c>
      <c r="H786" t="s">
        <v>1880</v>
      </c>
      <c r="I786" t="s">
        <v>1881</v>
      </c>
      <c r="J786" t="s">
        <v>1882</v>
      </c>
      <c r="K786" t="s">
        <v>25</v>
      </c>
      <c r="L786" t="s">
        <v>26</v>
      </c>
      <c r="M786" t="b">
        <v>1</v>
      </c>
      <c r="N786" t="s">
        <v>220</v>
      </c>
      <c r="O786" t="str">
        <f>"[E]"</f>
        <v>[E]</v>
      </c>
      <c r="Q786" t="b">
        <v>1</v>
      </c>
      <c r="T786" t="str">
        <f>"9780310736813"</f>
        <v>9780310736813</v>
      </c>
      <c r="U786" t="b">
        <v>0</v>
      </c>
      <c r="W786" t="b">
        <v>0</v>
      </c>
    </row>
    <row r="787" spans="1:23" x14ac:dyDescent="0.3">
      <c r="A787">
        <v>2982770</v>
      </c>
      <c r="B787">
        <v>42.61</v>
      </c>
      <c r="C787" t="s">
        <v>1883</v>
      </c>
      <c r="E787" t="s">
        <v>23</v>
      </c>
      <c r="F787" t="s">
        <v>28</v>
      </c>
      <c r="G787">
        <v>2009</v>
      </c>
      <c r="H787" t="s">
        <v>34</v>
      </c>
      <c r="K787" t="s">
        <v>25</v>
      </c>
      <c r="L787" t="s">
        <v>30</v>
      </c>
      <c r="M787" t="b">
        <v>1</v>
      </c>
      <c r="N787" t="s">
        <v>1884</v>
      </c>
      <c r="P787" t="s">
        <v>1885</v>
      </c>
      <c r="Q787" t="b">
        <v>1</v>
      </c>
      <c r="T787" t="str">
        <f>"9780310870173"</f>
        <v>9780310870173</v>
      </c>
      <c r="U787" t="b">
        <v>0</v>
      </c>
      <c r="W787" t="b">
        <v>0</v>
      </c>
    </row>
    <row r="788" spans="1:23" x14ac:dyDescent="0.3">
      <c r="A788">
        <v>2982769</v>
      </c>
      <c r="B788">
        <v>34.47</v>
      </c>
      <c r="C788" t="s">
        <v>1886</v>
      </c>
      <c r="D788" t="s">
        <v>1887</v>
      </c>
      <c r="E788" t="s">
        <v>23</v>
      </c>
      <c r="F788" t="s">
        <v>28</v>
      </c>
      <c r="G788">
        <v>2012</v>
      </c>
      <c r="H788" t="s">
        <v>1888</v>
      </c>
      <c r="K788" t="s">
        <v>25</v>
      </c>
      <c r="L788" t="s">
        <v>30</v>
      </c>
      <c r="M788" t="b">
        <v>1</v>
      </c>
      <c r="N788" t="s">
        <v>83</v>
      </c>
      <c r="Q788" t="b">
        <v>0</v>
      </c>
      <c r="S788" t="str">
        <f>"9780310726845"</f>
        <v>9780310726845</v>
      </c>
      <c r="T788" t="str">
        <f>"9780310726852"</f>
        <v>9780310726852</v>
      </c>
      <c r="U788" t="b">
        <v>0</v>
      </c>
      <c r="W788" t="b">
        <v>0</v>
      </c>
    </row>
    <row r="789" spans="1:23" x14ac:dyDescent="0.3">
      <c r="A789">
        <v>2982768</v>
      </c>
      <c r="B789">
        <v>24.12</v>
      </c>
      <c r="C789" t="s">
        <v>1889</v>
      </c>
      <c r="D789" t="s">
        <v>1890</v>
      </c>
      <c r="E789" t="s">
        <v>23</v>
      </c>
      <c r="F789" t="s">
        <v>28</v>
      </c>
      <c r="G789">
        <v>2012</v>
      </c>
      <c r="H789" t="s">
        <v>710</v>
      </c>
      <c r="K789" t="s">
        <v>25</v>
      </c>
      <c r="L789" t="s">
        <v>30</v>
      </c>
      <c r="M789" t="b">
        <v>1</v>
      </c>
      <c r="N789" t="s">
        <v>510</v>
      </c>
      <c r="P789" t="s">
        <v>1322</v>
      </c>
      <c r="Q789" t="b">
        <v>0</v>
      </c>
      <c r="S789" t="str">
        <f>"9780310722687"</f>
        <v>9780310722687</v>
      </c>
      <c r="T789" t="str">
        <f>"9780310413523"</f>
        <v>9780310413523</v>
      </c>
      <c r="U789" t="b">
        <v>0</v>
      </c>
      <c r="W789" t="b">
        <v>0</v>
      </c>
    </row>
    <row r="790" spans="1:23" x14ac:dyDescent="0.3">
      <c r="A790">
        <v>2982767</v>
      </c>
      <c r="B790">
        <v>51.72</v>
      </c>
      <c r="C790" t="s">
        <v>1891</v>
      </c>
      <c r="D790" t="s">
        <v>1892</v>
      </c>
      <c r="E790" t="s">
        <v>23</v>
      </c>
      <c r="F790" t="s">
        <v>28</v>
      </c>
      <c r="G790">
        <v>2016</v>
      </c>
      <c r="H790" t="s">
        <v>1893</v>
      </c>
      <c r="K790" t="s">
        <v>25</v>
      </c>
      <c r="L790" t="s">
        <v>26</v>
      </c>
      <c r="M790" t="b">
        <v>1</v>
      </c>
      <c r="N790" t="s">
        <v>1535</v>
      </c>
      <c r="P790" t="s">
        <v>84</v>
      </c>
      <c r="Q790" t="b">
        <v>0</v>
      </c>
      <c r="S790" t="str">
        <f>"9780310746324"</f>
        <v>9780310746324</v>
      </c>
      <c r="T790" t="str">
        <f>"9780310755647"</f>
        <v>9780310755647</v>
      </c>
      <c r="U790" t="b">
        <v>0</v>
      </c>
      <c r="W790" t="b">
        <v>0</v>
      </c>
    </row>
    <row r="791" spans="1:23" x14ac:dyDescent="0.3">
      <c r="A791">
        <v>2982766</v>
      </c>
      <c r="B791">
        <v>17.22</v>
      </c>
      <c r="C791" t="s">
        <v>1894</v>
      </c>
      <c r="D791" t="s">
        <v>93</v>
      </c>
      <c r="E791" t="s">
        <v>23</v>
      </c>
      <c r="F791" t="s">
        <v>28</v>
      </c>
      <c r="G791">
        <v>2010</v>
      </c>
      <c r="H791" t="s">
        <v>34</v>
      </c>
      <c r="K791" t="s">
        <v>25</v>
      </c>
      <c r="L791" t="s">
        <v>30</v>
      </c>
      <c r="M791" t="b">
        <v>1</v>
      </c>
      <c r="N791" t="s">
        <v>1895</v>
      </c>
      <c r="P791" t="s">
        <v>376</v>
      </c>
      <c r="Q791" t="b">
        <v>1</v>
      </c>
      <c r="S791" t="str">
        <f>"9780310715757"</f>
        <v>9780310715757</v>
      </c>
      <c r="T791" t="str">
        <f>"9780310424420"</f>
        <v>9780310424420</v>
      </c>
      <c r="U791" t="b">
        <v>0</v>
      </c>
      <c r="W791" t="b">
        <v>0</v>
      </c>
    </row>
    <row r="792" spans="1:23" x14ac:dyDescent="0.3">
      <c r="A792">
        <v>2982765</v>
      </c>
      <c r="B792">
        <v>17.22</v>
      </c>
      <c r="C792" t="s">
        <v>1896</v>
      </c>
      <c r="D792" t="s">
        <v>138</v>
      </c>
      <c r="E792" t="s">
        <v>23</v>
      </c>
      <c r="F792" t="s">
        <v>28</v>
      </c>
      <c r="G792">
        <v>2011</v>
      </c>
      <c r="H792" t="s">
        <v>144</v>
      </c>
      <c r="K792" t="s">
        <v>25</v>
      </c>
      <c r="L792" t="s">
        <v>26</v>
      </c>
      <c r="M792" t="b">
        <v>1</v>
      </c>
      <c r="N792" t="s">
        <v>44</v>
      </c>
      <c r="P792" t="s">
        <v>1637</v>
      </c>
      <c r="Q792" t="b">
        <v>0</v>
      </c>
      <c r="S792" t="str">
        <f>"9780310721888"</f>
        <v>9780310721888</v>
      </c>
      <c r="T792" t="str">
        <f>"9780310410126"</f>
        <v>9780310410126</v>
      </c>
      <c r="U792" t="b">
        <v>0</v>
      </c>
      <c r="W792" t="b">
        <v>0</v>
      </c>
    </row>
    <row r="793" spans="1:23" x14ac:dyDescent="0.3">
      <c r="A793">
        <v>2982764</v>
      </c>
      <c r="B793">
        <v>35.5</v>
      </c>
      <c r="C793" t="s">
        <v>1897</v>
      </c>
      <c r="E793" t="s">
        <v>23</v>
      </c>
      <c r="F793" t="s">
        <v>28</v>
      </c>
      <c r="G793">
        <v>2009</v>
      </c>
      <c r="H793" t="s">
        <v>168</v>
      </c>
      <c r="K793" t="s">
        <v>25</v>
      </c>
      <c r="L793" t="s">
        <v>30</v>
      </c>
      <c r="M793" t="b">
        <v>1</v>
      </c>
      <c r="N793" t="s">
        <v>1629</v>
      </c>
      <c r="P793" s="1">
        <v>0.11944444444444445</v>
      </c>
      <c r="Q793" t="b">
        <v>0</v>
      </c>
      <c r="T793" t="str">
        <f>"9780310868705"</f>
        <v>9780310868705</v>
      </c>
      <c r="U793" t="b">
        <v>0</v>
      </c>
      <c r="W793" t="b">
        <v>0</v>
      </c>
    </row>
    <row r="794" spans="1:23" x14ac:dyDescent="0.3">
      <c r="A794">
        <v>2982763</v>
      </c>
      <c r="B794">
        <v>17.73</v>
      </c>
      <c r="C794" t="s">
        <v>1898</v>
      </c>
      <c r="E794" t="s">
        <v>23</v>
      </c>
      <c r="F794" t="s">
        <v>28</v>
      </c>
      <c r="G794">
        <v>2009</v>
      </c>
      <c r="H794" t="s">
        <v>718</v>
      </c>
      <c r="K794" t="s">
        <v>25</v>
      </c>
      <c r="L794" t="s">
        <v>30</v>
      </c>
      <c r="M794" t="b">
        <v>1</v>
      </c>
      <c r="N794" t="s">
        <v>272</v>
      </c>
      <c r="P794" t="s">
        <v>1311</v>
      </c>
      <c r="Q794" t="b">
        <v>1</v>
      </c>
      <c r="T794" t="str">
        <f>"9780310834403"</f>
        <v>9780310834403</v>
      </c>
      <c r="U794" t="b">
        <v>0</v>
      </c>
      <c r="W794" t="b">
        <v>0</v>
      </c>
    </row>
    <row r="795" spans="1:23" x14ac:dyDescent="0.3">
      <c r="A795">
        <v>2982762</v>
      </c>
      <c r="B795">
        <v>27.57</v>
      </c>
      <c r="C795" t="s">
        <v>1899</v>
      </c>
      <c r="E795" t="s">
        <v>23</v>
      </c>
      <c r="F795" t="s">
        <v>28</v>
      </c>
      <c r="G795">
        <v>2014</v>
      </c>
      <c r="H795" t="s">
        <v>1900</v>
      </c>
      <c r="K795" t="s">
        <v>25</v>
      </c>
      <c r="L795" t="s">
        <v>30</v>
      </c>
      <c r="M795" t="b">
        <v>1</v>
      </c>
      <c r="N795" t="s">
        <v>1708</v>
      </c>
      <c r="P795" t="s">
        <v>1709</v>
      </c>
      <c r="Q795" t="b">
        <v>1</v>
      </c>
      <c r="S795" t="str">
        <f>"9780310742838"</f>
        <v>9780310742838</v>
      </c>
      <c r="T795" t="str">
        <f>"9780310742869"</f>
        <v>9780310742869</v>
      </c>
      <c r="U795" t="b">
        <v>0</v>
      </c>
      <c r="W795" t="b">
        <v>0</v>
      </c>
    </row>
    <row r="796" spans="1:23" x14ac:dyDescent="0.3">
      <c r="A796">
        <v>2982761</v>
      </c>
      <c r="B796">
        <v>71.03</v>
      </c>
      <c r="C796" t="s">
        <v>1901</v>
      </c>
      <c r="D796" t="s">
        <v>1902</v>
      </c>
      <c r="E796" t="s">
        <v>23</v>
      </c>
      <c r="F796" t="s">
        <v>28</v>
      </c>
      <c r="G796">
        <v>2018</v>
      </c>
      <c r="H796" t="s">
        <v>1315</v>
      </c>
      <c r="K796" t="s">
        <v>25</v>
      </c>
      <c r="L796" t="s">
        <v>26</v>
      </c>
      <c r="M796" t="b">
        <v>1</v>
      </c>
      <c r="N796" t="s">
        <v>44</v>
      </c>
      <c r="Q796" t="b">
        <v>0</v>
      </c>
      <c r="S796" t="str">
        <f>"9780310763512"</f>
        <v>9780310763512</v>
      </c>
      <c r="T796" t="str">
        <f>"9780310763505"</f>
        <v>9780310763505</v>
      </c>
      <c r="U796" t="b">
        <v>0</v>
      </c>
      <c r="W796" t="b">
        <v>0</v>
      </c>
    </row>
    <row r="797" spans="1:23" x14ac:dyDescent="0.3">
      <c r="A797">
        <v>2982760</v>
      </c>
      <c r="B797">
        <v>3.52</v>
      </c>
      <c r="C797" t="s">
        <v>1903</v>
      </c>
      <c r="E797" t="s">
        <v>23</v>
      </c>
      <c r="F797" t="s">
        <v>28</v>
      </c>
      <c r="G797">
        <v>2020</v>
      </c>
      <c r="H797" t="s">
        <v>207</v>
      </c>
      <c r="I797" t="s">
        <v>1904</v>
      </c>
      <c r="J797" t="s">
        <v>1905</v>
      </c>
      <c r="K797" t="s">
        <v>25</v>
      </c>
      <c r="L797" t="s">
        <v>26</v>
      </c>
      <c r="M797" t="b">
        <v>1</v>
      </c>
      <c r="N797" t="s">
        <v>44</v>
      </c>
      <c r="O797" t="str">
        <f>"[E]"</f>
        <v>[E]</v>
      </c>
      <c r="Q797" t="b">
        <v>1</v>
      </c>
      <c r="T797" t="str">
        <f>"9780310748250"</f>
        <v>9780310748250</v>
      </c>
      <c r="U797" t="b">
        <v>0</v>
      </c>
      <c r="W797" t="b">
        <v>0</v>
      </c>
    </row>
    <row r="798" spans="1:23" x14ac:dyDescent="0.3">
      <c r="A798">
        <v>2982759</v>
      </c>
      <c r="B798">
        <v>35.5</v>
      </c>
      <c r="C798" t="s">
        <v>1906</v>
      </c>
      <c r="E798" t="s">
        <v>23</v>
      </c>
      <c r="F798" t="s">
        <v>28</v>
      </c>
      <c r="G798">
        <v>2011</v>
      </c>
      <c r="H798" t="s">
        <v>863</v>
      </c>
      <c r="K798" t="s">
        <v>25</v>
      </c>
      <c r="L798" t="s">
        <v>30</v>
      </c>
      <c r="M798" t="b">
        <v>1</v>
      </c>
      <c r="N798" t="s">
        <v>44</v>
      </c>
      <c r="Q798" t="b">
        <v>0</v>
      </c>
      <c r="T798" t="str">
        <f>"9780310729884"</f>
        <v>9780310729884</v>
      </c>
      <c r="U798" t="b">
        <v>0</v>
      </c>
      <c r="W798" t="b">
        <v>0</v>
      </c>
    </row>
    <row r="799" spans="1:23" x14ac:dyDescent="0.3">
      <c r="A799">
        <v>2982758</v>
      </c>
      <c r="B799">
        <v>34.47</v>
      </c>
      <c r="C799" t="s">
        <v>1907</v>
      </c>
      <c r="E799" t="s">
        <v>23</v>
      </c>
      <c r="F799" t="s">
        <v>28</v>
      </c>
      <c r="G799">
        <v>2014</v>
      </c>
      <c r="H799" t="s">
        <v>716</v>
      </c>
      <c r="K799" t="s">
        <v>25</v>
      </c>
      <c r="L799" t="s">
        <v>26</v>
      </c>
      <c r="M799" t="b">
        <v>1</v>
      </c>
      <c r="N799" t="s">
        <v>1908</v>
      </c>
      <c r="P799" t="s">
        <v>1909</v>
      </c>
      <c r="Q799" t="b">
        <v>1</v>
      </c>
      <c r="S799" t="str">
        <f>"9780310737650"</f>
        <v>9780310737650</v>
      </c>
      <c r="T799" t="str">
        <f>"9780310735021"</f>
        <v>9780310735021</v>
      </c>
      <c r="U799" t="b">
        <v>0</v>
      </c>
      <c r="W799" t="b">
        <v>0</v>
      </c>
    </row>
    <row r="800" spans="1:23" x14ac:dyDescent="0.3">
      <c r="A800">
        <v>2982757</v>
      </c>
      <c r="B800">
        <v>17.73</v>
      </c>
      <c r="C800" t="s">
        <v>1910</v>
      </c>
      <c r="E800" t="s">
        <v>23</v>
      </c>
      <c r="F800" t="s">
        <v>28</v>
      </c>
      <c r="G800">
        <v>2009</v>
      </c>
      <c r="H800" t="s">
        <v>718</v>
      </c>
      <c r="K800" t="s">
        <v>25</v>
      </c>
      <c r="L800" t="s">
        <v>30</v>
      </c>
      <c r="M800" t="b">
        <v>1</v>
      </c>
      <c r="N800" t="s">
        <v>1378</v>
      </c>
      <c r="P800" t="s">
        <v>1379</v>
      </c>
      <c r="Q800" t="b">
        <v>1</v>
      </c>
      <c r="T800" t="str">
        <f>"9780310866794"</f>
        <v>9780310866794</v>
      </c>
      <c r="U800" t="b">
        <v>0</v>
      </c>
      <c r="W800" t="b">
        <v>0</v>
      </c>
    </row>
    <row r="801" spans="1:23" x14ac:dyDescent="0.3">
      <c r="A801">
        <v>2982756</v>
      </c>
      <c r="B801">
        <v>31.02</v>
      </c>
      <c r="C801" t="s">
        <v>1911</v>
      </c>
      <c r="E801" t="s">
        <v>23</v>
      </c>
      <c r="F801" t="s">
        <v>28</v>
      </c>
      <c r="G801">
        <v>2017</v>
      </c>
      <c r="H801" t="s">
        <v>1728</v>
      </c>
      <c r="K801" t="s">
        <v>25</v>
      </c>
      <c r="L801" t="s">
        <v>26</v>
      </c>
      <c r="M801" t="b">
        <v>1</v>
      </c>
      <c r="N801" t="s">
        <v>1729</v>
      </c>
      <c r="P801" t="s">
        <v>1730</v>
      </c>
      <c r="Q801" t="b">
        <v>1</v>
      </c>
      <c r="S801" t="str">
        <f>"9780310760634"</f>
        <v>9780310760634</v>
      </c>
      <c r="T801" t="str">
        <f>"9780310760627"</f>
        <v>9780310760627</v>
      </c>
      <c r="U801" t="b">
        <v>0</v>
      </c>
      <c r="W801" t="b">
        <v>0</v>
      </c>
    </row>
    <row r="802" spans="1:23" x14ac:dyDescent="0.3">
      <c r="A802">
        <v>2982755</v>
      </c>
      <c r="B802">
        <v>35.5</v>
      </c>
      <c r="C802" t="s">
        <v>1912</v>
      </c>
      <c r="E802" t="s">
        <v>23</v>
      </c>
      <c r="F802" t="s">
        <v>28</v>
      </c>
      <c r="G802">
        <v>2012</v>
      </c>
      <c r="H802" t="s">
        <v>41</v>
      </c>
      <c r="K802" t="s">
        <v>25</v>
      </c>
      <c r="L802" t="s">
        <v>30</v>
      </c>
      <c r="M802" t="b">
        <v>1</v>
      </c>
      <c r="N802" t="s">
        <v>1913</v>
      </c>
      <c r="Q802" t="b">
        <v>1</v>
      </c>
      <c r="T802" t="str">
        <f>"9780310426783"</f>
        <v>9780310426783</v>
      </c>
      <c r="U802" t="b">
        <v>0</v>
      </c>
      <c r="W802" t="b">
        <v>0</v>
      </c>
    </row>
    <row r="803" spans="1:23" x14ac:dyDescent="0.3">
      <c r="A803">
        <v>2982754</v>
      </c>
      <c r="B803">
        <v>35.5</v>
      </c>
      <c r="C803" t="s">
        <v>1914</v>
      </c>
      <c r="D803" t="s">
        <v>1915</v>
      </c>
      <c r="E803" t="s">
        <v>23</v>
      </c>
      <c r="F803" t="s">
        <v>28</v>
      </c>
      <c r="G803">
        <v>2010</v>
      </c>
      <c r="H803" t="s">
        <v>168</v>
      </c>
      <c r="K803" t="s">
        <v>25</v>
      </c>
      <c r="L803" t="s">
        <v>30</v>
      </c>
      <c r="M803" t="b">
        <v>1</v>
      </c>
      <c r="N803" t="s">
        <v>1629</v>
      </c>
      <c r="P803" s="1">
        <v>0.11944444444444445</v>
      </c>
      <c r="Q803" t="b">
        <v>0</v>
      </c>
      <c r="T803" t="str">
        <f>"9780310876724"</f>
        <v>9780310876724</v>
      </c>
      <c r="U803" t="b">
        <v>0</v>
      </c>
      <c r="W803" t="b">
        <v>0</v>
      </c>
    </row>
    <row r="804" spans="1:23" x14ac:dyDescent="0.3">
      <c r="A804">
        <v>2982753</v>
      </c>
      <c r="B804">
        <v>34.47</v>
      </c>
      <c r="C804" t="s">
        <v>1916</v>
      </c>
      <c r="D804" t="s">
        <v>1917</v>
      </c>
      <c r="E804" t="s">
        <v>23</v>
      </c>
      <c r="F804" t="s">
        <v>28</v>
      </c>
      <c r="G804">
        <v>2013</v>
      </c>
      <c r="H804" t="s">
        <v>1331</v>
      </c>
      <c r="K804" t="s">
        <v>25</v>
      </c>
      <c r="L804" t="s">
        <v>30</v>
      </c>
      <c r="M804" t="b">
        <v>1</v>
      </c>
      <c r="N804" t="s">
        <v>1918</v>
      </c>
      <c r="Q804" t="b">
        <v>0</v>
      </c>
      <c r="S804" t="str">
        <f>"9780310734024"</f>
        <v>9780310734024</v>
      </c>
      <c r="T804" t="str">
        <f>"9780310734031"</f>
        <v>9780310734031</v>
      </c>
      <c r="U804" t="b">
        <v>0</v>
      </c>
      <c r="W804" t="b">
        <v>0</v>
      </c>
    </row>
    <row r="805" spans="1:23" x14ac:dyDescent="0.3">
      <c r="A805">
        <v>2982752</v>
      </c>
      <c r="B805">
        <v>44.82</v>
      </c>
      <c r="C805" t="s">
        <v>1919</v>
      </c>
      <c r="E805" t="s">
        <v>23</v>
      </c>
      <c r="F805" t="s">
        <v>28</v>
      </c>
      <c r="G805">
        <v>2013</v>
      </c>
      <c r="H805" t="s">
        <v>1920</v>
      </c>
      <c r="K805" t="s">
        <v>25</v>
      </c>
      <c r="L805" t="s">
        <v>30</v>
      </c>
      <c r="M805" t="b">
        <v>1</v>
      </c>
      <c r="N805" t="s">
        <v>1921</v>
      </c>
      <c r="Q805" t="b">
        <v>1</v>
      </c>
      <c r="S805" t="str">
        <f>"9780310740629"</f>
        <v>9780310740629</v>
      </c>
      <c r="T805" t="str">
        <f>"9780310740636"</f>
        <v>9780310740636</v>
      </c>
      <c r="U805" t="b">
        <v>0</v>
      </c>
      <c r="W805" t="b">
        <v>0</v>
      </c>
    </row>
    <row r="806" spans="1:23" x14ac:dyDescent="0.3">
      <c r="A806">
        <v>2982751</v>
      </c>
      <c r="B806">
        <v>17.22</v>
      </c>
      <c r="C806" t="s">
        <v>1922</v>
      </c>
      <c r="D806" t="s">
        <v>93</v>
      </c>
      <c r="E806" t="s">
        <v>23</v>
      </c>
      <c r="F806" t="s">
        <v>28</v>
      </c>
      <c r="G806">
        <v>2010</v>
      </c>
      <c r="H806" t="s">
        <v>41</v>
      </c>
      <c r="K806" t="s">
        <v>25</v>
      </c>
      <c r="L806" t="s">
        <v>30</v>
      </c>
      <c r="M806" t="b">
        <v>1</v>
      </c>
      <c r="N806" t="s">
        <v>480</v>
      </c>
      <c r="P806" t="s">
        <v>1517</v>
      </c>
      <c r="Q806" t="b">
        <v>1</v>
      </c>
      <c r="S806" t="str">
        <f>"9780310717096"</f>
        <v>9780310717096</v>
      </c>
      <c r="T806" t="str">
        <f>"9780310424680"</f>
        <v>9780310424680</v>
      </c>
      <c r="U806" t="b">
        <v>0</v>
      </c>
      <c r="W806" t="b">
        <v>0</v>
      </c>
    </row>
    <row r="807" spans="1:23" x14ac:dyDescent="0.3">
      <c r="A807">
        <v>2982750</v>
      </c>
      <c r="B807">
        <v>17.22</v>
      </c>
      <c r="C807" t="s">
        <v>1923</v>
      </c>
      <c r="E807" t="s">
        <v>23</v>
      </c>
      <c r="F807" t="s">
        <v>28</v>
      </c>
      <c r="G807">
        <v>2018</v>
      </c>
      <c r="H807" t="s">
        <v>1694</v>
      </c>
      <c r="K807" t="s">
        <v>25</v>
      </c>
      <c r="L807" t="s">
        <v>26</v>
      </c>
      <c r="M807" t="b">
        <v>1</v>
      </c>
      <c r="N807" t="s">
        <v>1695</v>
      </c>
      <c r="Q807" t="b">
        <v>0</v>
      </c>
      <c r="S807" t="str">
        <f>"9780310767107"</f>
        <v>9780310767107</v>
      </c>
      <c r="T807" t="str">
        <f>"9780310767121"</f>
        <v>9780310767121</v>
      </c>
      <c r="U807" t="b">
        <v>0</v>
      </c>
      <c r="W807" t="b">
        <v>0</v>
      </c>
    </row>
    <row r="808" spans="1:23" x14ac:dyDescent="0.3">
      <c r="A808">
        <v>2982749</v>
      </c>
      <c r="B808">
        <v>17.22</v>
      </c>
      <c r="C808" t="s">
        <v>1924</v>
      </c>
      <c r="D808" t="s">
        <v>143</v>
      </c>
      <c r="E808" t="s">
        <v>23</v>
      </c>
      <c r="F808" t="s">
        <v>28</v>
      </c>
      <c r="G808">
        <v>2009</v>
      </c>
      <c r="H808" t="s">
        <v>34</v>
      </c>
      <c r="K808" t="s">
        <v>25</v>
      </c>
      <c r="L808" t="s">
        <v>30</v>
      </c>
      <c r="M808" t="b">
        <v>1</v>
      </c>
      <c r="N808" t="s">
        <v>1504</v>
      </c>
      <c r="P808" t="s">
        <v>1505</v>
      </c>
      <c r="Q808" t="b">
        <v>1</v>
      </c>
      <c r="S808" t="str">
        <f>"9780310715856"</f>
        <v>9780310715856</v>
      </c>
      <c r="T808" t="str">
        <f>"9780310868644"</f>
        <v>9780310868644</v>
      </c>
      <c r="U808" t="b">
        <v>0</v>
      </c>
      <c r="W808" t="b">
        <v>0</v>
      </c>
    </row>
    <row r="809" spans="1:23" x14ac:dyDescent="0.3">
      <c r="A809">
        <v>2982748</v>
      </c>
      <c r="B809">
        <v>10.63</v>
      </c>
      <c r="C809" t="s">
        <v>289</v>
      </c>
      <c r="D809" t="s">
        <v>93</v>
      </c>
      <c r="E809" t="s">
        <v>23</v>
      </c>
      <c r="F809" t="s">
        <v>28</v>
      </c>
      <c r="G809">
        <v>2012</v>
      </c>
      <c r="H809" t="s">
        <v>34</v>
      </c>
      <c r="K809" t="s">
        <v>25</v>
      </c>
      <c r="L809" t="s">
        <v>30</v>
      </c>
      <c r="M809" t="b">
        <v>1</v>
      </c>
      <c r="N809" t="s">
        <v>275</v>
      </c>
      <c r="P809" t="s">
        <v>276</v>
      </c>
      <c r="Q809" t="b">
        <v>1</v>
      </c>
      <c r="T809" t="str">
        <f>"9780310727125"</f>
        <v>9780310727125</v>
      </c>
      <c r="U809" t="b">
        <v>0</v>
      </c>
      <c r="W809" t="b">
        <v>0</v>
      </c>
    </row>
    <row r="810" spans="1:23" x14ac:dyDescent="0.3">
      <c r="A810">
        <v>2982747</v>
      </c>
      <c r="B810">
        <v>27.57</v>
      </c>
      <c r="C810" t="s">
        <v>1925</v>
      </c>
      <c r="E810" t="s">
        <v>23</v>
      </c>
      <c r="F810" t="s">
        <v>28</v>
      </c>
      <c r="G810">
        <v>2010</v>
      </c>
      <c r="H810" t="s">
        <v>1746</v>
      </c>
      <c r="K810" t="s">
        <v>25</v>
      </c>
      <c r="L810" t="s">
        <v>30</v>
      </c>
      <c r="M810" t="b">
        <v>1</v>
      </c>
      <c r="N810" t="s">
        <v>1346</v>
      </c>
      <c r="P810" t="s">
        <v>1347</v>
      </c>
      <c r="Q810" t="b">
        <v>1</v>
      </c>
      <c r="S810" t="str">
        <f>"9780310717942"</f>
        <v>9780310717942</v>
      </c>
      <c r="T810" t="str">
        <f>"9780310874041"</f>
        <v>9780310874041</v>
      </c>
      <c r="U810" t="b">
        <v>0</v>
      </c>
      <c r="W810" t="b">
        <v>0</v>
      </c>
    </row>
    <row r="811" spans="1:23" x14ac:dyDescent="0.3">
      <c r="A811">
        <v>2982746</v>
      </c>
      <c r="B811">
        <v>24.12</v>
      </c>
      <c r="C811" t="s">
        <v>1926</v>
      </c>
      <c r="D811" t="s">
        <v>1684</v>
      </c>
      <c r="E811" t="s">
        <v>23</v>
      </c>
      <c r="F811" t="s">
        <v>28</v>
      </c>
      <c r="G811">
        <v>2019</v>
      </c>
      <c r="H811" t="s">
        <v>219</v>
      </c>
      <c r="K811" t="s">
        <v>25</v>
      </c>
      <c r="L811" t="s">
        <v>26</v>
      </c>
      <c r="M811" t="b">
        <v>1</v>
      </c>
      <c r="N811" t="s">
        <v>35</v>
      </c>
      <c r="P811" t="s">
        <v>36</v>
      </c>
      <c r="Q811" t="b">
        <v>1</v>
      </c>
      <c r="S811" t="str">
        <f>"9780310767909"</f>
        <v>9780310767909</v>
      </c>
      <c r="T811" t="str">
        <f>"9780310767916"</f>
        <v>9780310767916</v>
      </c>
      <c r="U811" t="b">
        <v>0</v>
      </c>
      <c r="W811" t="b">
        <v>0</v>
      </c>
    </row>
    <row r="812" spans="1:23" x14ac:dyDescent="0.3">
      <c r="A812">
        <v>2982745</v>
      </c>
      <c r="B812">
        <v>27.57</v>
      </c>
      <c r="C812" t="s">
        <v>1927</v>
      </c>
      <c r="E812" t="s">
        <v>23</v>
      </c>
      <c r="F812" t="s">
        <v>28</v>
      </c>
      <c r="G812">
        <v>2013</v>
      </c>
      <c r="H812" t="s">
        <v>172</v>
      </c>
      <c r="K812" t="s">
        <v>25</v>
      </c>
      <c r="L812" t="s">
        <v>30</v>
      </c>
      <c r="M812" t="b">
        <v>1</v>
      </c>
      <c r="N812" t="s">
        <v>1928</v>
      </c>
      <c r="P812" t="s">
        <v>1576</v>
      </c>
      <c r="Q812" t="b">
        <v>1</v>
      </c>
      <c r="S812" t="str">
        <f>"9780310727996"</f>
        <v>9780310727996</v>
      </c>
      <c r="T812" t="str">
        <f>"9780310728009"</f>
        <v>9780310728009</v>
      </c>
      <c r="U812" t="b">
        <v>0</v>
      </c>
      <c r="W812" t="b">
        <v>0</v>
      </c>
    </row>
    <row r="813" spans="1:23" x14ac:dyDescent="0.3">
      <c r="A813">
        <v>2982744</v>
      </c>
      <c r="B813">
        <v>24.84</v>
      </c>
      <c r="C813" t="s">
        <v>1929</v>
      </c>
      <c r="E813" t="s">
        <v>23</v>
      </c>
      <c r="F813" t="s">
        <v>28</v>
      </c>
      <c r="G813">
        <v>2011</v>
      </c>
      <c r="H813" t="s">
        <v>41</v>
      </c>
      <c r="K813" t="s">
        <v>25</v>
      </c>
      <c r="L813" t="s">
        <v>30</v>
      </c>
      <c r="M813" t="b">
        <v>1</v>
      </c>
      <c r="N813" t="s">
        <v>480</v>
      </c>
      <c r="P813" t="s">
        <v>1930</v>
      </c>
      <c r="Q813" t="b">
        <v>1</v>
      </c>
      <c r="T813" t="str">
        <f>"9780310727811"</f>
        <v>9780310727811</v>
      </c>
      <c r="U813" t="b">
        <v>0</v>
      </c>
      <c r="W813" t="b">
        <v>0</v>
      </c>
    </row>
    <row r="814" spans="1:23" x14ac:dyDescent="0.3">
      <c r="A814">
        <v>2982743</v>
      </c>
      <c r="B814">
        <v>17.73</v>
      </c>
      <c r="C814" t="s">
        <v>1931</v>
      </c>
      <c r="E814" t="s">
        <v>23</v>
      </c>
      <c r="F814" t="s">
        <v>28</v>
      </c>
      <c r="G814">
        <v>2009</v>
      </c>
      <c r="H814" t="s">
        <v>718</v>
      </c>
      <c r="K814" t="s">
        <v>25</v>
      </c>
      <c r="L814" t="s">
        <v>30</v>
      </c>
      <c r="M814" t="b">
        <v>1</v>
      </c>
      <c r="N814" t="s">
        <v>1378</v>
      </c>
      <c r="P814" t="s">
        <v>1379</v>
      </c>
      <c r="Q814" t="b">
        <v>1</v>
      </c>
      <c r="T814" t="str">
        <f>"9780310868514"</f>
        <v>9780310868514</v>
      </c>
      <c r="U814" t="b">
        <v>0</v>
      </c>
      <c r="W814" t="b">
        <v>0</v>
      </c>
    </row>
    <row r="815" spans="1:23" x14ac:dyDescent="0.3">
      <c r="A815">
        <v>2982742</v>
      </c>
      <c r="B815">
        <v>31.02</v>
      </c>
      <c r="C815" t="s">
        <v>1932</v>
      </c>
      <c r="E815" t="s">
        <v>23</v>
      </c>
      <c r="F815" t="s">
        <v>28</v>
      </c>
      <c r="G815">
        <v>2017</v>
      </c>
      <c r="H815" t="s">
        <v>1337</v>
      </c>
      <c r="K815" t="s">
        <v>25</v>
      </c>
      <c r="L815" t="s">
        <v>26</v>
      </c>
      <c r="M815" t="b">
        <v>1</v>
      </c>
      <c r="N815" t="s">
        <v>1514</v>
      </c>
      <c r="P815" t="s">
        <v>1515</v>
      </c>
      <c r="Q815" t="b">
        <v>1</v>
      </c>
      <c r="S815" t="str">
        <f>"9780310752745"</f>
        <v>9780310752745</v>
      </c>
      <c r="T815" t="str">
        <f>"9780310752776"</f>
        <v>9780310752776</v>
      </c>
      <c r="U815" t="b">
        <v>0</v>
      </c>
      <c r="W815" t="b">
        <v>0</v>
      </c>
    </row>
    <row r="816" spans="1:23" x14ac:dyDescent="0.3">
      <c r="A816">
        <v>2982741</v>
      </c>
      <c r="B816">
        <v>27.57</v>
      </c>
      <c r="C816" t="s">
        <v>1933</v>
      </c>
      <c r="E816" t="s">
        <v>23</v>
      </c>
      <c r="F816" t="s">
        <v>28</v>
      </c>
      <c r="G816">
        <v>2010</v>
      </c>
      <c r="H816" t="s">
        <v>341</v>
      </c>
      <c r="K816" t="s">
        <v>25</v>
      </c>
      <c r="L816" t="s">
        <v>30</v>
      </c>
      <c r="M816" t="b">
        <v>1</v>
      </c>
      <c r="N816" t="s">
        <v>1934</v>
      </c>
      <c r="Q816" t="b">
        <v>0</v>
      </c>
      <c r="S816" t="str">
        <f>"9780310705451"</f>
        <v>9780310705451</v>
      </c>
      <c r="T816" t="str">
        <f>"9780310873075"</f>
        <v>9780310873075</v>
      </c>
      <c r="U816" t="b">
        <v>0</v>
      </c>
      <c r="W816" t="b">
        <v>0</v>
      </c>
    </row>
    <row r="817" spans="1:23" x14ac:dyDescent="0.3">
      <c r="A817">
        <v>2982740</v>
      </c>
      <c r="B817">
        <v>24.12</v>
      </c>
      <c r="C817" t="s">
        <v>1935</v>
      </c>
      <c r="E817" t="s">
        <v>23</v>
      </c>
      <c r="F817" t="s">
        <v>28</v>
      </c>
      <c r="G817">
        <v>2009</v>
      </c>
      <c r="H817" t="s">
        <v>716</v>
      </c>
      <c r="K817" t="s">
        <v>25</v>
      </c>
      <c r="L817" t="s">
        <v>30</v>
      </c>
      <c r="M817" t="b">
        <v>1</v>
      </c>
      <c r="N817" t="s">
        <v>1615</v>
      </c>
      <c r="P817" t="s">
        <v>1857</v>
      </c>
      <c r="Q817" t="b">
        <v>1</v>
      </c>
      <c r="S817" t="str">
        <f>"9780310711964"</f>
        <v>9780310711964</v>
      </c>
      <c r="T817" t="str">
        <f>"9780310865865"</f>
        <v>9780310865865</v>
      </c>
      <c r="U817" t="b">
        <v>0</v>
      </c>
      <c r="W817" t="b">
        <v>0</v>
      </c>
    </row>
    <row r="818" spans="1:23" x14ac:dyDescent="0.3">
      <c r="A818">
        <v>2982739</v>
      </c>
      <c r="B818">
        <v>27.57</v>
      </c>
      <c r="C818" t="s">
        <v>1936</v>
      </c>
      <c r="D818" t="s">
        <v>1405</v>
      </c>
      <c r="E818" t="s">
        <v>23</v>
      </c>
      <c r="F818" t="s">
        <v>28</v>
      </c>
      <c r="G818">
        <v>2009</v>
      </c>
      <c r="H818" t="s">
        <v>1406</v>
      </c>
      <c r="K818" t="s">
        <v>25</v>
      </c>
      <c r="L818" t="s">
        <v>30</v>
      </c>
      <c r="M818" t="b">
        <v>1</v>
      </c>
      <c r="N818" t="s">
        <v>1937</v>
      </c>
      <c r="P818" t="s">
        <v>1408</v>
      </c>
      <c r="Q818" t="b">
        <v>1</v>
      </c>
      <c r="S818" t="str">
        <f>"9780310745556"</f>
        <v>9780310745556</v>
      </c>
      <c r="T818" t="str">
        <f>"9780310865810"</f>
        <v>9780310865810</v>
      </c>
      <c r="U818" t="b">
        <v>0</v>
      </c>
      <c r="W818" t="b">
        <v>0</v>
      </c>
    </row>
    <row r="819" spans="1:23" x14ac:dyDescent="0.3">
      <c r="A819">
        <v>2982738</v>
      </c>
      <c r="B819">
        <v>17.73</v>
      </c>
      <c r="C819" t="s">
        <v>1938</v>
      </c>
      <c r="E819" t="s">
        <v>23</v>
      </c>
      <c r="F819" t="s">
        <v>28</v>
      </c>
      <c r="G819">
        <v>2009</v>
      </c>
      <c r="H819" t="s">
        <v>718</v>
      </c>
      <c r="K819" t="s">
        <v>25</v>
      </c>
      <c r="L819" t="s">
        <v>30</v>
      </c>
      <c r="M819" t="b">
        <v>1</v>
      </c>
      <c r="N819" t="s">
        <v>83</v>
      </c>
      <c r="P819" t="s">
        <v>1624</v>
      </c>
      <c r="Q819" t="b">
        <v>1</v>
      </c>
      <c r="T819" t="str">
        <f>"9780310568353"</f>
        <v>9780310568353</v>
      </c>
      <c r="U819" t="b">
        <v>0</v>
      </c>
      <c r="W819" t="b">
        <v>0</v>
      </c>
    </row>
    <row r="820" spans="1:23" x14ac:dyDescent="0.3">
      <c r="A820">
        <v>2982737</v>
      </c>
      <c r="B820">
        <v>35.5</v>
      </c>
      <c r="C820" t="s">
        <v>1939</v>
      </c>
      <c r="E820" t="s">
        <v>23</v>
      </c>
      <c r="F820" t="s">
        <v>28</v>
      </c>
      <c r="G820">
        <v>2010</v>
      </c>
      <c r="H820" t="s">
        <v>714</v>
      </c>
      <c r="I820" t="s">
        <v>1940</v>
      </c>
      <c r="J820" t="s">
        <v>1941</v>
      </c>
      <c r="K820" t="s">
        <v>25</v>
      </c>
      <c r="L820" t="s">
        <v>30</v>
      </c>
      <c r="M820" t="b">
        <v>1</v>
      </c>
      <c r="N820" t="s">
        <v>1942</v>
      </c>
      <c r="O820" t="str">
        <f>"811/.6"</f>
        <v>811/.6</v>
      </c>
      <c r="Q820" t="b">
        <v>1</v>
      </c>
      <c r="T820" t="str">
        <f>"9780310424000"</f>
        <v>9780310424000</v>
      </c>
      <c r="U820" t="b">
        <v>0</v>
      </c>
      <c r="W820" t="b">
        <v>0</v>
      </c>
    </row>
    <row r="821" spans="1:23" x14ac:dyDescent="0.3">
      <c r="A821">
        <v>2982736</v>
      </c>
      <c r="B821">
        <v>14.18</v>
      </c>
      <c r="C821" t="s">
        <v>1943</v>
      </c>
      <c r="E821" t="s">
        <v>23</v>
      </c>
      <c r="F821" t="s">
        <v>28</v>
      </c>
      <c r="G821">
        <v>2011</v>
      </c>
      <c r="H821" t="s">
        <v>34</v>
      </c>
      <c r="K821" t="s">
        <v>25</v>
      </c>
      <c r="L821" t="s">
        <v>30</v>
      </c>
      <c r="M821" t="b">
        <v>1</v>
      </c>
      <c r="N821" t="s">
        <v>1944</v>
      </c>
      <c r="P821" t="s">
        <v>1499</v>
      </c>
      <c r="Q821" t="b">
        <v>1</v>
      </c>
      <c r="S821" t="str">
        <f>"9780310705628"</f>
        <v>9780310705628</v>
      </c>
      <c r="T821" t="str">
        <f>"9780310424284"</f>
        <v>9780310424284</v>
      </c>
      <c r="U821" t="b">
        <v>0</v>
      </c>
      <c r="W821" t="b">
        <v>0</v>
      </c>
    </row>
    <row r="822" spans="1:23" x14ac:dyDescent="0.3">
      <c r="A822">
        <v>2982735</v>
      </c>
      <c r="B822">
        <v>31.02</v>
      </c>
      <c r="C822" t="s">
        <v>1945</v>
      </c>
      <c r="E822" t="s">
        <v>23</v>
      </c>
      <c r="F822" t="s">
        <v>28</v>
      </c>
      <c r="G822">
        <v>2015</v>
      </c>
      <c r="H822" t="s">
        <v>1337</v>
      </c>
      <c r="K822" t="s">
        <v>25</v>
      </c>
      <c r="L822" t="s">
        <v>30</v>
      </c>
      <c r="M822" t="b">
        <v>1</v>
      </c>
      <c r="N822" t="s">
        <v>1784</v>
      </c>
      <c r="P822" t="s">
        <v>1785</v>
      </c>
      <c r="Q822" t="b">
        <v>1</v>
      </c>
      <c r="S822" t="str">
        <f>"9780310742494"</f>
        <v>9780310742494</v>
      </c>
      <c r="T822" t="str">
        <f>"9780310742500"</f>
        <v>9780310742500</v>
      </c>
      <c r="U822" t="b">
        <v>0</v>
      </c>
      <c r="W822" t="b">
        <v>0</v>
      </c>
    </row>
    <row r="823" spans="1:23" x14ac:dyDescent="0.3">
      <c r="A823">
        <v>2982734</v>
      </c>
      <c r="B823">
        <v>3.52</v>
      </c>
      <c r="C823" t="s">
        <v>1946</v>
      </c>
      <c r="E823" t="s">
        <v>23</v>
      </c>
      <c r="F823" t="s">
        <v>28</v>
      </c>
      <c r="G823">
        <v>2020</v>
      </c>
      <c r="H823" t="s">
        <v>1947</v>
      </c>
      <c r="I823" t="s">
        <v>1948</v>
      </c>
      <c r="J823" t="s">
        <v>1949</v>
      </c>
      <c r="K823" t="s">
        <v>25</v>
      </c>
      <c r="L823" t="s">
        <v>26</v>
      </c>
      <c r="M823" t="b">
        <v>1</v>
      </c>
      <c r="N823" t="s">
        <v>44</v>
      </c>
      <c r="O823" t="str">
        <f>"599.63/5"</f>
        <v>599.63/5</v>
      </c>
      <c r="P823" t="s">
        <v>199</v>
      </c>
      <c r="Q823" t="b">
        <v>1</v>
      </c>
      <c r="T823" t="str">
        <f>"9780310735298"</f>
        <v>9780310735298</v>
      </c>
      <c r="U823" t="b">
        <v>0</v>
      </c>
      <c r="W823" t="b">
        <v>0</v>
      </c>
    </row>
    <row r="824" spans="1:23" x14ac:dyDescent="0.3">
      <c r="A824">
        <v>2982733</v>
      </c>
      <c r="B824">
        <v>10.63</v>
      </c>
      <c r="C824" t="s">
        <v>1950</v>
      </c>
      <c r="D824" t="s">
        <v>1585</v>
      </c>
      <c r="E824" t="s">
        <v>23</v>
      </c>
      <c r="F824" t="s">
        <v>28</v>
      </c>
      <c r="G824">
        <v>2010</v>
      </c>
      <c r="H824" t="s">
        <v>34</v>
      </c>
      <c r="K824" t="s">
        <v>25</v>
      </c>
      <c r="L824" t="s">
        <v>30</v>
      </c>
      <c r="M824" t="b">
        <v>1</v>
      </c>
      <c r="N824" t="s">
        <v>1951</v>
      </c>
      <c r="P824" t="s">
        <v>376</v>
      </c>
      <c r="Q824" t="b">
        <v>1</v>
      </c>
      <c r="T824" t="str">
        <f>"9780310424413"</f>
        <v>9780310424413</v>
      </c>
      <c r="U824" t="b">
        <v>0</v>
      </c>
      <c r="W824" t="b">
        <v>0</v>
      </c>
    </row>
    <row r="825" spans="1:23" x14ac:dyDescent="0.3">
      <c r="A825">
        <v>2982732</v>
      </c>
      <c r="B825">
        <v>31.95</v>
      </c>
      <c r="C825" t="s">
        <v>1952</v>
      </c>
      <c r="D825" t="s">
        <v>143</v>
      </c>
      <c r="E825" t="s">
        <v>23</v>
      </c>
      <c r="F825" t="s">
        <v>28</v>
      </c>
      <c r="G825">
        <v>2012</v>
      </c>
      <c r="H825" t="s">
        <v>75</v>
      </c>
      <c r="K825" t="s">
        <v>25</v>
      </c>
      <c r="L825" t="s">
        <v>26</v>
      </c>
      <c r="M825" t="b">
        <v>1</v>
      </c>
      <c r="N825" t="s">
        <v>146</v>
      </c>
      <c r="P825" t="s">
        <v>147</v>
      </c>
      <c r="Q825" t="b">
        <v>0</v>
      </c>
      <c r="T825" t="str">
        <f>"9780310728726"</f>
        <v>9780310728726</v>
      </c>
      <c r="U825" t="b">
        <v>0</v>
      </c>
      <c r="W825" t="b">
        <v>0</v>
      </c>
    </row>
    <row r="826" spans="1:23" x14ac:dyDescent="0.3">
      <c r="A826">
        <v>2982731</v>
      </c>
      <c r="B826">
        <v>3.52</v>
      </c>
      <c r="C826" t="s">
        <v>1953</v>
      </c>
      <c r="E826" t="s">
        <v>23</v>
      </c>
      <c r="F826" t="s">
        <v>28</v>
      </c>
      <c r="G826">
        <v>2020</v>
      </c>
      <c r="H826" t="s">
        <v>236</v>
      </c>
      <c r="I826" t="s">
        <v>1954</v>
      </c>
      <c r="J826" t="s">
        <v>1955</v>
      </c>
      <c r="K826" t="s">
        <v>25</v>
      </c>
      <c r="L826" t="s">
        <v>26</v>
      </c>
      <c r="M826" t="b">
        <v>1</v>
      </c>
      <c r="N826" t="s">
        <v>237</v>
      </c>
      <c r="O826" t="str">
        <f>"[E]"</f>
        <v>[E]</v>
      </c>
      <c r="Q826" t="b">
        <v>1</v>
      </c>
      <c r="T826" t="str">
        <f>"9780310735182"</f>
        <v>9780310735182</v>
      </c>
      <c r="U826" t="b">
        <v>0</v>
      </c>
      <c r="W826" t="b">
        <v>0</v>
      </c>
    </row>
    <row r="827" spans="1:23" x14ac:dyDescent="0.3">
      <c r="A827">
        <v>2982730</v>
      </c>
      <c r="B827">
        <v>10.63</v>
      </c>
      <c r="C827" t="s">
        <v>277</v>
      </c>
      <c r="D827" t="s">
        <v>93</v>
      </c>
      <c r="E827" t="s">
        <v>23</v>
      </c>
      <c r="F827" t="s">
        <v>28</v>
      </c>
      <c r="G827">
        <v>2011</v>
      </c>
      <c r="H827" t="s">
        <v>34</v>
      </c>
      <c r="K827" t="s">
        <v>25</v>
      </c>
      <c r="L827" t="s">
        <v>30</v>
      </c>
      <c r="M827" t="b">
        <v>1</v>
      </c>
      <c r="N827" t="s">
        <v>275</v>
      </c>
      <c r="P827" t="s">
        <v>276</v>
      </c>
      <c r="Q827" t="b">
        <v>1</v>
      </c>
      <c r="S827" t="str">
        <f>"9780310727095"</f>
        <v>9780310727095</v>
      </c>
      <c r="T827" t="str">
        <f>"9780310727101"</f>
        <v>9780310727101</v>
      </c>
      <c r="U827" t="b">
        <v>0</v>
      </c>
      <c r="W827" t="b">
        <v>0</v>
      </c>
    </row>
    <row r="828" spans="1:23" x14ac:dyDescent="0.3">
      <c r="A828">
        <v>2982729</v>
      </c>
      <c r="B828">
        <v>3.52</v>
      </c>
      <c r="C828" t="s">
        <v>1956</v>
      </c>
      <c r="D828" t="s">
        <v>225</v>
      </c>
      <c r="E828" t="s">
        <v>23</v>
      </c>
      <c r="F828" t="s">
        <v>28</v>
      </c>
      <c r="G828">
        <v>2020</v>
      </c>
      <c r="H828" t="s">
        <v>226</v>
      </c>
      <c r="I828" t="s">
        <v>1957</v>
      </c>
      <c r="J828" t="s">
        <v>1958</v>
      </c>
      <c r="K828" t="s">
        <v>25</v>
      </c>
      <c r="L828" t="s">
        <v>26</v>
      </c>
      <c r="M828" t="b">
        <v>1</v>
      </c>
      <c r="N828" t="s">
        <v>227</v>
      </c>
      <c r="O828" t="str">
        <f>"[E]"</f>
        <v>[E]</v>
      </c>
      <c r="Q828" t="b">
        <v>1</v>
      </c>
      <c r="T828" t="str">
        <f>"9780310735496"</f>
        <v>9780310735496</v>
      </c>
      <c r="U828" t="b">
        <v>0</v>
      </c>
      <c r="W828" t="b">
        <v>0</v>
      </c>
    </row>
    <row r="829" spans="1:23" x14ac:dyDescent="0.3">
      <c r="A829">
        <v>2982728</v>
      </c>
      <c r="B829">
        <v>17.73</v>
      </c>
      <c r="C829" t="s">
        <v>1959</v>
      </c>
      <c r="E829" t="s">
        <v>23</v>
      </c>
      <c r="F829" t="s">
        <v>28</v>
      </c>
      <c r="G829">
        <v>2009</v>
      </c>
      <c r="H829" t="s">
        <v>716</v>
      </c>
      <c r="K829" t="s">
        <v>25</v>
      </c>
      <c r="L829" t="s">
        <v>30</v>
      </c>
      <c r="M829" t="b">
        <v>1</v>
      </c>
      <c r="N829" t="s">
        <v>1615</v>
      </c>
      <c r="P829" t="s">
        <v>1857</v>
      </c>
      <c r="Q829" t="b">
        <v>1</v>
      </c>
      <c r="S829" t="str">
        <f>"9780310711957"</f>
        <v>9780310711957</v>
      </c>
      <c r="T829" t="str">
        <f>"9780310866930"</f>
        <v>9780310866930</v>
      </c>
      <c r="U829" t="b">
        <v>0</v>
      </c>
      <c r="W829" t="b">
        <v>0</v>
      </c>
    </row>
    <row r="830" spans="1:23" x14ac:dyDescent="0.3">
      <c r="A830">
        <v>2982727</v>
      </c>
      <c r="B830">
        <v>27.57</v>
      </c>
      <c r="C830" t="s">
        <v>1960</v>
      </c>
      <c r="E830" t="s">
        <v>23</v>
      </c>
      <c r="F830" t="s">
        <v>28</v>
      </c>
      <c r="G830">
        <v>2009</v>
      </c>
      <c r="H830" t="s">
        <v>1961</v>
      </c>
      <c r="K830" t="s">
        <v>25</v>
      </c>
      <c r="M830" t="b">
        <v>1</v>
      </c>
      <c r="N830" t="s">
        <v>1629</v>
      </c>
      <c r="P830" s="1">
        <v>0.11944444444444445</v>
      </c>
      <c r="Q830" t="b">
        <v>0</v>
      </c>
      <c r="S830" t="str">
        <f>"9780310713098"</f>
        <v>9780310713098</v>
      </c>
      <c r="T830" t="str">
        <f>"9780310865797"</f>
        <v>9780310865797</v>
      </c>
      <c r="U830" t="b">
        <v>0</v>
      </c>
      <c r="W830" t="b">
        <v>0</v>
      </c>
    </row>
    <row r="831" spans="1:23" x14ac:dyDescent="0.3">
      <c r="A831">
        <v>2982726</v>
      </c>
      <c r="B831">
        <v>27.57</v>
      </c>
      <c r="C831" t="s">
        <v>1962</v>
      </c>
      <c r="E831" t="s">
        <v>23</v>
      </c>
      <c r="F831" t="s">
        <v>28</v>
      </c>
      <c r="G831">
        <v>2011</v>
      </c>
      <c r="H831" t="s">
        <v>1337</v>
      </c>
      <c r="K831" t="s">
        <v>25</v>
      </c>
      <c r="L831" t="s">
        <v>30</v>
      </c>
      <c r="M831" t="b">
        <v>1</v>
      </c>
      <c r="N831" t="s">
        <v>1338</v>
      </c>
      <c r="P831" t="s">
        <v>1339</v>
      </c>
      <c r="Q831" t="b">
        <v>1</v>
      </c>
      <c r="S831" t="str">
        <f>"9780310720928"</f>
        <v>9780310720928</v>
      </c>
      <c r="T831" t="str">
        <f>"9780310399636"</f>
        <v>9780310399636</v>
      </c>
      <c r="U831" t="b">
        <v>0</v>
      </c>
      <c r="W831" t="b">
        <v>0</v>
      </c>
    </row>
    <row r="832" spans="1:23" x14ac:dyDescent="0.3">
      <c r="A832">
        <v>2982725</v>
      </c>
      <c r="B832">
        <v>34.47</v>
      </c>
      <c r="C832" t="s">
        <v>1963</v>
      </c>
      <c r="E832" t="s">
        <v>23</v>
      </c>
      <c r="F832" t="s">
        <v>28</v>
      </c>
      <c r="G832">
        <v>2013</v>
      </c>
      <c r="H832" t="s">
        <v>123</v>
      </c>
      <c r="K832" t="s">
        <v>25</v>
      </c>
      <c r="L832" t="s">
        <v>30</v>
      </c>
      <c r="M832" t="b">
        <v>1</v>
      </c>
      <c r="N832" t="s">
        <v>1363</v>
      </c>
      <c r="P832" t="s">
        <v>125</v>
      </c>
      <c r="Q832" t="b">
        <v>0</v>
      </c>
      <c r="S832" t="str">
        <f>"9780310733928"</f>
        <v>9780310733928</v>
      </c>
      <c r="T832" t="str">
        <f>"9780310733935"</f>
        <v>9780310733935</v>
      </c>
      <c r="U832" t="b">
        <v>0</v>
      </c>
      <c r="W832" t="b">
        <v>0</v>
      </c>
    </row>
    <row r="833" spans="1:23" x14ac:dyDescent="0.3">
      <c r="A833">
        <v>2982724</v>
      </c>
      <c r="B833">
        <v>27.57</v>
      </c>
      <c r="C833" t="s">
        <v>1964</v>
      </c>
      <c r="E833" t="s">
        <v>23</v>
      </c>
      <c r="F833" t="s">
        <v>28</v>
      </c>
      <c r="G833">
        <v>2014</v>
      </c>
      <c r="H833" t="s">
        <v>717</v>
      </c>
      <c r="K833" t="s">
        <v>25</v>
      </c>
      <c r="L833" t="s">
        <v>30</v>
      </c>
      <c r="M833" t="b">
        <v>1</v>
      </c>
      <c r="N833" t="s">
        <v>1965</v>
      </c>
      <c r="Q833" t="b">
        <v>1</v>
      </c>
      <c r="S833" t="str">
        <f>"9780310746119"</f>
        <v>9780310746119</v>
      </c>
      <c r="T833" t="str">
        <f>"9780310746102"</f>
        <v>9780310746102</v>
      </c>
      <c r="U833" t="b">
        <v>0</v>
      </c>
      <c r="W833" t="b">
        <v>0</v>
      </c>
    </row>
    <row r="834" spans="1:23" x14ac:dyDescent="0.3">
      <c r="A834">
        <v>2982723</v>
      </c>
      <c r="B834">
        <v>17.73</v>
      </c>
      <c r="C834" t="s">
        <v>1966</v>
      </c>
      <c r="E834" t="s">
        <v>23</v>
      </c>
      <c r="F834" t="s">
        <v>28</v>
      </c>
      <c r="G834">
        <v>2010</v>
      </c>
      <c r="H834" t="s">
        <v>1656</v>
      </c>
      <c r="K834" t="s">
        <v>25</v>
      </c>
      <c r="L834" t="s">
        <v>30</v>
      </c>
      <c r="M834" t="b">
        <v>1</v>
      </c>
      <c r="N834" t="s">
        <v>1657</v>
      </c>
      <c r="P834" t="s">
        <v>1658</v>
      </c>
      <c r="Q834" t="b">
        <v>1</v>
      </c>
      <c r="T834" t="str">
        <f>"9780310873860"</f>
        <v>9780310873860</v>
      </c>
      <c r="U834" t="b">
        <v>0</v>
      </c>
      <c r="W834" t="b">
        <v>0</v>
      </c>
    </row>
    <row r="835" spans="1:23" x14ac:dyDescent="0.3">
      <c r="A835">
        <v>2982722</v>
      </c>
      <c r="B835">
        <v>27.57</v>
      </c>
      <c r="C835" t="s">
        <v>1967</v>
      </c>
      <c r="E835" t="s">
        <v>23</v>
      </c>
      <c r="F835" t="s">
        <v>28</v>
      </c>
      <c r="G835">
        <v>2010</v>
      </c>
      <c r="H835" t="s">
        <v>1961</v>
      </c>
      <c r="K835" t="s">
        <v>25</v>
      </c>
      <c r="L835" t="s">
        <v>30</v>
      </c>
      <c r="M835" t="b">
        <v>1</v>
      </c>
      <c r="N835" t="s">
        <v>1629</v>
      </c>
      <c r="P835" s="1">
        <v>0.11944444444444445</v>
      </c>
      <c r="Q835" t="b">
        <v>0</v>
      </c>
      <c r="S835" t="str">
        <f>"9780310708698"</f>
        <v>9780310708698</v>
      </c>
      <c r="T835" t="str">
        <f>"9780310871521"</f>
        <v>9780310871521</v>
      </c>
      <c r="U835" t="b">
        <v>0</v>
      </c>
      <c r="W835" t="b">
        <v>0</v>
      </c>
    </row>
    <row r="836" spans="1:23" x14ac:dyDescent="0.3">
      <c r="A836">
        <v>2982721</v>
      </c>
      <c r="B836">
        <v>14.18</v>
      </c>
      <c r="C836" t="s">
        <v>1968</v>
      </c>
      <c r="E836" t="s">
        <v>23</v>
      </c>
      <c r="F836" t="s">
        <v>28</v>
      </c>
      <c r="G836">
        <v>2010</v>
      </c>
      <c r="H836" t="s">
        <v>1694</v>
      </c>
      <c r="K836" t="s">
        <v>25</v>
      </c>
      <c r="L836" t="s">
        <v>30</v>
      </c>
      <c r="M836" t="b">
        <v>1</v>
      </c>
      <c r="N836" t="s">
        <v>1592</v>
      </c>
      <c r="P836" t="s">
        <v>1593</v>
      </c>
      <c r="Q836" t="b">
        <v>1</v>
      </c>
      <c r="T836" t="str">
        <f>"9780310423768"</f>
        <v>9780310423768</v>
      </c>
      <c r="U836" t="b">
        <v>0</v>
      </c>
      <c r="W836" t="b">
        <v>0</v>
      </c>
    </row>
    <row r="837" spans="1:23" x14ac:dyDescent="0.3">
      <c r="A837">
        <v>2982720</v>
      </c>
      <c r="B837">
        <v>3.52</v>
      </c>
      <c r="C837" t="s">
        <v>1969</v>
      </c>
      <c r="E837" t="s">
        <v>23</v>
      </c>
      <c r="F837" t="s">
        <v>28</v>
      </c>
      <c r="G837">
        <v>2020</v>
      </c>
      <c r="H837" t="s">
        <v>192</v>
      </c>
      <c r="I837" t="s">
        <v>1970</v>
      </c>
      <c r="J837" t="s">
        <v>1971</v>
      </c>
      <c r="K837" t="s">
        <v>25</v>
      </c>
      <c r="L837" t="s">
        <v>26</v>
      </c>
      <c r="M837" t="b">
        <v>1</v>
      </c>
      <c r="N837" t="s">
        <v>44</v>
      </c>
      <c r="O837" t="str">
        <f>"[E]"</f>
        <v>[E]</v>
      </c>
      <c r="P837" t="s">
        <v>199</v>
      </c>
      <c r="Q837" t="b">
        <v>1</v>
      </c>
      <c r="T837" t="str">
        <f>"9780310743798"</f>
        <v>9780310743798</v>
      </c>
      <c r="U837" t="b">
        <v>0</v>
      </c>
      <c r="W837" t="b">
        <v>0</v>
      </c>
    </row>
    <row r="838" spans="1:23" x14ac:dyDescent="0.3">
      <c r="A838">
        <v>2982719</v>
      </c>
      <c r="B838">
        <v>31.02</v>
      </c>
      <c r="C838" t="s">
        <v>1972</v>
      </c>
      <c r="D838" t="s">
        <v>1973</v>
      </c>
      <c r="E838" t="s">
        <v>23</v>
      </c>
      <c r="F838" t="s">
        <v>28</v>
      </c>
      <c r="G838">
        <v>2013</v>
      </c>
      <c r="H838" t="s">
        <v>168</v>
      </c>
      <c r="K838" t="s">
        <v>25</v>
      </c>
      <c r="L838" t="s">
        <v>30</v>
      </c>
      <c r="M838" t="b">
        <v>1</v>
      </c>
      <c r="N838" t="s">
        <v>1338</v>
      </c>
      <c r="Q838" t="b">
        <v>0</v>
      </c>
      <c r="S838" t="str">
        <f>"9780310731801"</f>
        <v>9780310731801</v>
      </c>
      <c r="T838" t="str">
        <f>"9780310731818"</f>
        <v>9780310731818</v>
      </c>
      <c r="U838" t="b">
        <v>0</v>
      </c>
      <c r="W838" t="b">
        <v>0</v>
      </c>
    </row>
    <row r="839" spans="1:23" x14ac:dyDescent="0.3">
      <c r="A839">
        <v>2982718</v>
      </c>
      <c r="B839">
        <v>58.62</v>
      </c>
      <c r="C839" t="s">
        <v>1974</v>
      </c>
      <c r="D839" t="s">
        <v>453</v>
      </c>
      <c r="E839" t="s">
        <v>23</v>
      </c>
      <c r="F839" t="s">
        <v>28</v>
      </c>
      <c r="G839">
        <v>2020</v>
      </c>
      <c r="H839" t="s">
        <v>168</v>
      </c>
      <c r="K839" t="s">
        <v>25</v>
      </c>
      <c r="L839" t="s">
        <v>26</v>
      </c>
      <c r="M839" t="b">
        <v>1</v>
      </c>
      <c r="N839" t="s">
        <v>1975</v>
      </c>
      <c r="Q839" t="b">
        <v>0</v>
      </c>
      <c r="S839" t="str">
        <f>"9780310769972"</f>
        <v>9780310769972</v>
      </c>
      <c r="T839" t="str">
        <f>"9780310769989"</f>
        <v>9780310769989</v>
      </c>
      <c r="U839" t="b">
        <v>0</v>
      </c>
      <c r="W839" t="b">
        <v>0</v>
      </c>
    </row>
    <row r="840" spans="1:23" x14ac:dyDescent="0.3">
      <c r="A840">
        <v>2982717</v>
      </c>
      <c r="B840">
        <v>34.47</v>
      </c>
      <c r="C840" t="s">
        <v>1976</v>
      </c>
      <c r="E840" t="s">
        <v>23</v>
      </c>
      <c r="F840" t="s">
        <v>28</v>
      </c>
      <c r="G840">
        <v>2009</v>
      </c>
      <c r="H840" t="s">
        <v>168</v>
      </c>
      <c r="K840" t="s">
        <v>25</v>
      </c>
      <c r="L840" t="s">
        <v>30</v>
      </c>
      <c r="M840" t="b">
        <v>1</v>
      </c>
      <c r="N840" t="s">
        <v>1629</v>
      </c>
      <c r="P840" s="1">
        <v>0.11944444444444445</v>
      </c>
      <c r="Q840" t="b">
        <v>0</v>
      </c>
      <c r="S840" t="str">
        <f>"9780310713128"</f>
        <v>9780310713128</v>
      </c>
      <c r="T840" t="str">
        <f>"9780310866008"</f>
        <v>9780310866008</v>
      </c>
      <c r="U840" t="b">
        <v>0</v>
      </c>
      <c r="W840" t="b">
        <v>0</v>
      </c>
    </row>
    <row r="841" spans="1:23" x14ac:dyDescent="0.3">
      <c r="A841">
        <v>2982716</v>
      </c>
      <c r="B841">
        <v>28.39</v>
      </c>
      <c r="C841" t="s">
        <v>1977</v>
      </c>
      <c r="D841" t="s">
        <v>1585</v>
      </c>
      <c r="E841" t="s">
        <v>23</v>
      </c>
      <c r="F841" t="s">
        <v>28</v>
      </c>
      <c r="G841">
        <v>2010</v>
      </c>
      <c r="H841" t="s">
        <v>34</v>
      </c>
      <c r="K841" t="s">
        <v>25</v>
      </c>
      <c r="L841" t="s">
        <v>30</v>
      </c>
      <c r="M841" t="b">
        <v>1</v>
      </c>
      <c r="N841" t="s">
        <v>1978</v>
      </c>
      <c r="P841" t="s">
        <v>376</v>
      </c>
      <c r="Q841" t="b">
        <v>1</v>
      </c>
      <c r="S841" t="str">
        <f>"9780310714668"</f>
        <v>9780310714668</v>
      </c>
      <c r="T841" t="str">
        <f>"9780310874331"</f>
        <v>9780310874331</v>
      </c>
      <c r="U841" t="b">
        <v>0</v>
      </c>
      <c r="W841" t="b">
        <v>0</v>
      </c>
    </row>
    <row r="842" spans="1:23" x14ac:dyDescent="0.3">
      <c r="A842">
        <v>2982715</v>
      </c>
      <c r="B842">
        <v>31.02</v>
      </c>
      <c r="C842" t="s">
        <v>1979</v>
      </c>
      <c r="E842" t="s">
        <v>23</v>
      </c>
      <c r="F842" t="s">
        <v>28</v>
      </c>
      <c r="G842">
        <v>2018</v>
      </c>
      <c r="H842" t="s">
        <v>716</v>
      </c>
      <c r="K842" t="s">
        <v>25</v>
      </c>
      <c r="L842" t="s">
        <v>26</v>
      </c>
      <c r="M842" t="b">
        <v>1</v>
      </c>
      <c r="N842" t="s">
        <v>1510</v>
      </c>
      <c r="P842" t="s">
        <v>1511</v>
      </c>
      <c r="Q842" t="b">
        <v>1</v>
      </c>
      <c r="S842" t="str">
        <f>"9780310762478"</f>
        <v>9780310762478</v>
      </c>
      <c r="T842" t="str">
        <f>"9780310762515"</f>
        <v>9780310762515</v>
      </c>
      <c r="U842" t="b">
        <v>0</v>
      </c>
      <c r="W842" t="b">
        <v>0</v>
      </c>
    </row>
    <row r="843" spans="1:23" x14ac:dyDescent="0.3">
      <c r="A843">
        <v>2982714</v>
      </c>
      <c r="B843">
        <v>71.03</v>
      </c>
      <c r="C843" t="s">
        <v>1980</v>
      </c>
      <c r="E843" t="s">
        <v>23</v>
      </c>
      <c r="F843" t="s">
        <v>28</v>
      </c>
      <c r="G843">
        <v>2017</v>
      </c>
      <c r="H843" t="s">
        <v>1315</v>
      </c>
      <c r="K843" t="s">
        <v>25</v>
      </c>
      <c r="L843" t="s">
        <v>30</v>
      </c>
      <c r="M843" t="b">
        <v>1</v>
      </c>
      <c r="N843" t="s">
        <v>44</v>
      </c>
      <c r="Q843" t="b">
        <v>0</v>
      </c>
      <c r="T843" t="str">
        <f>"9780310757993"</f>
        <v>9780310757993</v>
      </c>
      <c r="U843" t="b">
        <v>0</v>
      </c>
      <c r="W843" t="b">
        <v>0</v>
      </c>
    </row>
    <row r="844" spans="1:23" x14ac:dyDescent="0.3">
      <c r="A844">
        <v>2982713</v>
      </c>
      <c r="B844">
        <v>34.47</v>
      </c>
      <c r="C844" t="s">
        <v>1981</v>
      </c>
      <c r="D844" t="s">
        <v>1982</v>
      </c>
      <c r="E844" t="s">
        <v>23</v>
      </c>
      <c r="F844" t="s">
        <v>28</v>
      </c>
      <c r="G844">
        <v>2016</v>
      </c>
      <c r="H844" t="s">
        <v>1634</v>
      </c>
      <c r="K844" t="s">
        <v>25</v>
      </c>
      <c r="L844" t="s">
        <v>26</v>
      </c>
      <c r="M844" t="b">
        <v>1</v>
      </c>
      <c r="N844" t="s">
        <v>1635</v>
      </c>
      <c r="P844" t="s">
        <v>1408</v>
      </c>
      <c r="Q844" t="b">
        <v>0</v>
      </c>
      <c r="S844" t="str">
        <f>"9780310745594"</f>
        <v>9780310745594</v>
      </c>
      <c r="T844" t="str">
        <f>"9780310757351"</f>
        <v>9780310757351</v>
      </c>
      <c r="U844" t="b">
        <v>0</v>
      </c>
      <c r="W844" t="b">
        <v>0</v>
      </c>
    </row>
    <row r="845" spans="1:23" x14ac:dyDescent="0.3">
      <c r="A845">
        <v>2982712</v>
      </c>
      <c r="B845">
        <v>3.52</v>
      </c>
      <c r="C845" t="s">
        <v>1983</v>
      </c>
      <c r="E845" t="s">
        <v>23</v>
      </c>
      <c r="F845" t="s">
        <v>28</v>
      </c>
      <c r="G845">
        <v>2013</v>
      </c>
      <c r="H845" t="s">
        <v>717</v>
      </c>
      <c r="I845" t="s">
        <v>1494</v>
      </c>
      <c r="J845" t="s">
        <v>1984</v>
      </c>
      <c r="K845" t="s">
        <v>25</v>
      </c>
      <c r="L845" t="s">
        <v>30</v>
      </c>
      <c r="M845" t="b">
        <v>1</v>
      </c>
      <c r="N845" t="s">
        <v>1496</v>
      </c>
      <c r="O845" t="str">
        <f>"[Fic]"</f>
        <v>[Fic]</v>
      </c>
      <c r="P845" t="s">
        <v>1497</v>
      </c>
      <c r="Q845" t="b">
        <v>1</v>
      </c>
      <c r="T845" t="str">
        <f>"9780310730897"</f>
        <v>9780310730897</v>
      </c>
      <c r="U845" t="b">
        <v>0</v>
      </c>
      <c r="W845" t="b">
        <v>0</v>
      </c>
    </row>
    <row r="846" spans="1:23" x14ac:dyDescent="0.3">
      <c r="A846">
        <v>2982711</v>
      </c>
      <c r="B846">
        <v>3.52</v>
      </c>
      <c r="C846" t="s">
        <v>1985</v>
      </c>
      <c r="E846" t="s">
        <v>23</v>
      </c>
      <c r="F846" t="s">
        <v>28</v>
      </c>
      <c r="G846">
        <v>2020</v>
      </c>
      <c r="H846" t="s">
        <v>1986</v>
      </c>
      <c r="I846" t="s">
        <v>1839</v>
      </c>
      <c r="J846" t="s">
        <v>1987</v>
      </c>
      <c r="K846" t="s">
        <v>25</v>
      </c>
      <c r="L846" t="s">
        <v>26</v>
      </c>
      <c r="M846" t="b">
        <v>1</v>
      </c>
      <c r="N846" t="s">
        <v>1697</v>
      </c>
      <c r="O846" t="str">
        <f>"[Fic]"</f>
        <v>[Fic]</v>
      </c>
      <c r="P846" t="s">
        <v>1698</v>
      </c>
      <c r="Q846" t="b">
        <v>1</v>
      </c>
      <c r="T846" t="str">
        <f>"9780310735168"</f>
        <v>9780310735168</v>
      </c>
      <c r="U846" t="b">
        <v>0</v>
      </c>
      <c r="W846" t="b">
        <v>0</v>
      </c>
    </row>
    <row r="847" spans="1:23" x14ac:dyDescent="0.3">
      <c r="A847">
        <v>2982710</v>
      </c>
      <c r="B847">
        <v>17.22</v>
      </c>
      <c r="C847" t="s">
        <v>1988</v>
      </c>
      <c r="E847" t="s">
        <v>23</v>
      </c>
      <c r="F847" t="s">
        <v>28</v>
      </c>
      <c r="G847">
        <v>2016</v>
      </c>
      <c r="H847" t="s">
        <v>1694</v>
      </c>
      <c r="K847" t="s">
        <v>25</v>
      </c>
      <c r="L847" t="s">
        <v>26</v>
      </c>
      <c r="M847" t="b">
        <v>1</v>
      </c>
      <c r="N847" t="s">
        <v>44</v>
      </c>
      <c r="Q847" t="b">
        <v>1</v>
      </c>
      <c r="S847" t="str">
        <f>"9780310750628"</f>
        <v>9780310750628</v>
      </c>
      <c r="T847" t="str">
        <f>"9780310750635"</f>
        <v>9780310750635</v>
      </c>
      <c r="U847" t="b">
        <v>0</v>
      </c>
      <c r="W847" t="b">
        <v>0</v>
      </c>
    </row>
    <row r="848" spans="1:23" x14ac:dyDescent="0.3">
      <c r="A848">
        <v>2982709</v>
      </c>
      <c r="B848">
        <v>14.18</v>
      </c>
      <c r="C848" t="s">
        <v>1989</v>
      </c>
      <c r="E848" t="s">
        <v>23</v>
      </c>
      <c r="F848" t="s">
        <v>28</v>
      </c>
      <c r="G848">
        <v>2011</v>
      </c>
      <c r="H848" t="s">
        <v>34</v>
      </c>
      <c r="K848" t="s">
        <v>25</v>
      </c>
      <c r="L848" t="s">
        <v>30</v>
      </c>
      <c r="M848" t="b">
        <v>1</v>
      </c>
      <c r="N848" t="s">
        <v>675</v>
      </c>
      <c r="P848" t="s">
        <v>1499</v>
      </c>
      <c r="Q848" t="b">
        <v>1</v>
      </c>
      <c r="T848" t="str">
        <f>"9780310424291"</f>
        <v>9780310424291</v>
      </c>
      <c r="U848" t="b">
        <v>0</v>
      </c>
      <c r="W848" t="b">
        <v>0</v>
      </c>
    </row>
    <row r="849" spans="1:23" x14ac:dyDescent="0.3">
      <c r="A849">
        <v>2982708</v>
      </c>
      <c r="B849">
        <v>48.27</v>
      </c>
      <c r="C849" t="s">
        <v>1990</v>
      </c>
      <c r="D849" t="s">
        <v>1991</v>
      </c>
      <c r="E849" t="s">
        <v>23</v>
      </c>
      <c r="F849" t="s">
        <v>28</v>
      </c>
      <c r="G849">
        <v>2014</v>
      </c>
      <c r="H849" t="s">
        <v>1992</v>
      </c>
      <c r="K849" t="s">
        <v>25</v>
      </c>
      <c r="L849" t="s">
        <v>30</v>
      </c>
      <c r="M849" t="b">
        <v>1</v>
      </c>
      <c r="N849" t="s">
        <v>1721</v>
      </c>
      <c r="Q849" t="b">
        <v>1</v>
      </c>
      <c r="S849" t="str">
        <f>"9780310742654"</f>
        <v>9780310742654</v>
      </c>
      <c r="T849" t="str">
        <f>"9780310742661"</f>
        <v>9780310742661</v>
      </c>
      <c r="U849" t="b">
        <v>0</v>
      </c>
      <c r="W849" t="b">
        <v>0</v>
      </c>
    </row>
    <row r="850" spans="1:23" x14ac:dyDescent="0.3">
      <c r="A850">
        <v>2982707</v>
      </c>
      <c r="B850">
        <v>21.29</v>
      </c>
      <c r="C850" t="s">
        <v>1993</v>
      </c>
      <c r="E850" t="s">
        <v>23</v>
      </c>
      <c r="F850" t="s">
        <v>28</v>
      </c>
      <c r="G850">
        <v>2011</v>
      </c>
      <c r="H850" t="s">
        <v>34</v>
      </c>
      <c r="K850" t="s">
        <v>25</v>
      </c>
      <c r="L850" t="s">
        <v>30</v>
      </c>
      <c r="M850" t="b">
        <v>1</v>
      </c>
      <c r="N850" t="s">
        <v>94</v>
      </c>
      <c r="P850" t="s">
        <v>721</v>
      </c>
      <c r="Q850" t="b">
        <v>1</v>
      </c>
      <c r="T850" t="str">
        <f>"9780310424376"</f>
        <v>9780310424376</v>
      </c>
      <c r="U850" t="b">
        <v>0</v>
      </c>
      <c r="W850" t="b">
        <v>0</v>
      </c>
    </row>
    <row r="851" spans="1:23" x14ac:dyDescent="0.3">
      <c r="A851">
        <v>2982706</v>
      </c>
      <c r="B851">
        <v>3.52</v>
      </c>
      <c r="C851" t="s">
        <v>1994</v>
      </c>
      <c r="E851" t="s">
        <v>23</v>
      </c>
      <c r="F851" t="s">
        <v>28</v>
      </c>
      <c r="G851">
        <v>2020</v>
      </c>
      <c r="H851" t="s">
        <v>341</v>
      </c>
      <c r="I851" t="s">
        <v>1948</v>
      </c>
      <c r="J851" t="s">
        <v>1995</v>
      </c>
      <c r="K851" t="s">
        <v>25</v>
      </c>
      <c r="L851" t="s">
        <v>26</v>
      </c>
      <c r="M851" t="b">
        <v>1</v>
      </c>
      <c r="N851" t="s">
        <v>44</v>
      </c>
      <c r="O851" t="str">
        <f>"599.63/5"</f>
        <v>599.63/5</v>
      </c>
      <c r="P851" t="s">
        <v>199</v>
      </c>
      <c r="Q851" t="b">
        <v>1</v>
      </c>
      <c r="T851" t="str">
        <f>"9780310735311"</f>
        <v>9780310735311</v>
      </c>
      <c r="U851" t="b">
        <v>0</v>
      </c>
      <c r="W851" t="b">
        <v>0</v>
      </c>
    </row>
    <row r="852" spans="1:23" x14ac:dyDescent="0.3">
      <c r="A852">
        <v>2982705</v>
      </c>
      <c r="B852">
        <v>44.82</v>
      </c>
      <c r="C852" t="s">
        <v>1996</v>
      </c>
      <c r="E852" t="s">
        <v>23</v>
      </c>
      <c r="F852" t="s">
        <v>28</v>
      </c>
      <c r="G852">
        <v>2011</v>
      </c>
      <c r="H852" t="s">
        <v>168</v>
      </c>
      <c r="K852" t="s">
        <v>25</v>
      </c>
      <c r="L852" t="s">
        <v>30</v>
      </c>
      <c r="M852" t="b">
        <v>1</v>
      </c>
      <c r="N852" t="s">
        <v>1997</v>
      </c>
      <c r="Q852" t="b">
        <v>0</v>
      </c>
      <c r="S852" t="str">
        <f>"9780310718116"</f>
        <v>9780310718116</v>
      </c>
      <c r="T852" t="str">
        <f>"9780310423966"</f>
        <v>9780310423966</v>
      </c>
      <c r="U852" t="b">
        <v>0</v>
      </c>
      <c r="W852" t="b">
        <v>0</v>
      </c>
    </row>
    <row r="853" spans="1:23" x14ac:dyDescent="0.3">
      <c r="A853">
        <v>2982704</v>
      </c>
      <c r="B853">
        <v>3.52</v>
      </c>
      <c r="C853" t="s">
        <v>1998</v>
      </c>
      <c r="D853" t="s">
        <v>229</v>
      </c>
      <c r="E853" t="s">
        <v>23</v>
      </c>
      <c r="F853" t="s">
        <v>28</v>
      </c>
      <c r="G853">
        <v>2020</v>
      </c>
      <c r="H853" t="s">
        <v>702</v>
      </c>
      <c r="I853" t="s">
        <v>1646</v>
      </c>
      <c r="J853" t="s">
        <v>1647</v>
      </c>
      <c r="K853" t="s">
        <v>25</v>
      </c>
      <c r="L853" t="s">
        <v>26</v>
      </c>
      <c r="M853" t="b">
        <v>1</v>
      </c>
      <c r="N853" t="s">
        <v>231</v>
      </c>
      <c r="O853" t="str">
        <f>"[E]"</f>
        <v>[E]</v>
      </c>
      <c r="Q853" t="b">
        <v>1</v>
      </c>
      <c r="T853" t="str">
        <f>"9780310735731"</f>
        <v>9780310735731</v>
      </c>
      <c r="U853" t="b">
        <v>0</v>
      </c>
      <c r="W853" t="b">
        <v>0</v>
      </c>
    </row>
    <row r="854" spans="1:23" x14ac:dyDescent="0.3">
      <c r="A854">
        <v>2982703</v>
      </c>
      <c r="B854">
        <v>3.52</v>
      </c>
      <c r="C854" t="s">
        <v>1999</v>
      </c>
      <c r="E854" t="s">
        <v>23</v>
      </c>
      <c r="F854" t="s">
        <v>28</v>
      </c>
      <c r="G854">
        <v>2020</v>
      </c>
      <c r="H854" t="s">
        <v>707</v>
      </c>
      <c r="I854" t="s">
        <v>1839</v>
      </c>
      <c r="J854" t="s">
        <v>1987</v>
      </c>
      <c r="K854" t="s">
        <v>25</v>
      </c>
      <c r="L854" t="s">
        <v>26</v>
      </c>
      <c r="M854" t="b">
        <v>1</v>
      </c>
      <c r="N854" t="s">
        <v>1697</v>
      </c>
      <c r="O854" t="str">
        <f>"[Fic]"</f>
        <v>[Fic]</v>
      </c>
      <c r="P854" t="s">
        <v>1698</v>
      </c>
      <c r="Q854" t="b">
        <v>1</v>
      </c>
      <c r="T854" t="str">
        <f>"9780310735151"</f>
        <v>9780310735151</v>
      </c>
      <c r="U854" t="b">
        <v>0</v>
      </c>
      <c r="W854" t="b">
        <v>0</v>
      </c>
    </row>
    <row r="855" spans="1:23" x14ac:dyDescent="0.3">
      <c r="A855">
        <v>2982702</v>
      </c>
      <c r="B855">
        <v>17.22</v>
      </c>
      <c r="C855" t="s">
        <v>2000</v>
      </c>
      <c r="D855" t="s">
        <v>138</v>
      </c>
      <c r="E855" t="s">
        <v>23</v>
      </c>
      <c r="F855" t="s">
        <v>28</v>
      </c>
      <c r="G855">
        <v>2011</v>
      </c>
      <c r="H855" t="s">
        <v>34</v>
      </c>
      <c r="K855" t="s">
        <v>25</v>
      </c>
      <c r="L855" t="s">
        <v>30</v>
      </c>
      <c r="M855" t="b">
        <v>1</v>
      </c>
      <c r="N855" t="s">
        <v>272</v>
      </c>
      <c r="P855" t="s">
        <v>1524</v>
      </c>
      <c r="Q855" t="b">
        <v>1</v>
      </c>
      <c r="S855" t="str">
        <f>"9780310717836"</f>
        <v>9780310717836</v>
      </c>
      <c r="T855" t="str">
        <f>"9780310424468"</f>
        <v>9780310424468</v>
      </c>
      <c r="U855" t="b">
        <v>0</v>
      </c>
      <c r="W855" t="b">
        <v>0</v>
      </c>
    </row>
    <row r="856" spans="1:23" x14ac:dyDescent="0.3">
      <c r="A856">
        <v>2982701</v>
      </c>
      <c r="B856">
        <v>24.12</v>
      </c>
      <c r="C856" t="s">
        <v>2001</v>
      </c>
      <c r="D856" t="s">
        <v>1684</v>
      </c>
      <c r="E856" t="s">
        <v>23</v>
      </c>
      <c r="F856" t="s">
        <v>28</v>
      </c>
      <c r="G856">
        <v>2020</v>
      </c>
      <c r="H856" t="s">
        <v>1422</v>
      </c>
      <c r="K856" t="s">
        <v>25</v>
      </c>
      <c r="L856" t="s">
        <v>26</v>
      </c>
      <c r="M856" t="b">
        <v>1</v>
      </c>
      <c r="N856" t="s">
        <v>35</v>
      </c>
      <c r="P856" t="s">
        <v>36</v>
      </c>
      <c r="Q856" t="b">
        <v>1</v>
      </c>
      <c r="S856" t="str">
        <f>"9780310768043"</f>
        <v>9780310768043</v>
      </c>
      <c r="T856" t="str">
        <f>"9780310768050"</f>
        <v>9780310768050</v>
      </c>
      <c r="U856" t="b">
        <v>0</v>
      </c>
      <c r="W856" t="b">
        <v>0</v>
      </c>
    </row>
    <row r="857" spans="1:23" x14ac:dyDescent="0.3">
      <c r="A857">
        <v>2982700</v>
      </c>
      <c r="B857">
        <v>68.97</v>
      </c>
      <c r="C857" t="s">
        <v>2002</v>
      </c>
      <c r="D857" t="s">
        <v>2003</v>
      </c>
      <c r="E857" t="s">
        <v>23</v>
      </c>
      <c r="F857" t="s">
        <v>28</v>
      </c>
      <c r="G857">
        <v>2011</v>
      </c>
      <c r="H857" t="s">
        <v>75</v>
      </c>
      <c r="K857" t="s">
        <v>25</v>
      </c>
      <c r="L857" t="s">
        <v>30</v>
      </c>
      <c r="M857" t="b">
        <v>1</v>
      </c>
      <c r="N857" t="s">
        <v>44</v>
      </c>
      <c r="P857" t="s">
        <v>1316</v>
      </c>
      <c r="Q857" t="b">
        <v>0</v>
      </c>
      <c r="S857" t="str">
        <f>"9780310719274"</f>
        <v>9780310719274</v>
      </c>
      <c r="T857" t="str">
        <f>"9780310426189"</f>
        <v>9780310426189</v>
      </c>
      <c r="U857" t="b">
        <v>0</v>
      </c>
      <c r="W857" t="b">
        <v>0</v>
      </c>
    </row>
    <row r="858" spans="1:23" x14ac:dyDescent="0.3">
      <c r="A858">
        <v>2982699</v>
      </c>
      <c r="B858">
        <v>17.22</v>
      </c>
      <c r="C858" t="s">
        <v>2004</v>
      </c>
      <c r="E858" t="s">
        <v>23</v>
      </c>
      <c r="F858" t="s">
        <v>28</v>
      </c>
      <c r="G858">
        <v>2011</v>
      </c>
      <c r="H858" t="s">
        <v>34</v>
      </c>
      <c r="K858" t="s">
        <v>25</v>
      </c>
      <c r="L858" t="s">
        <v>30</v>
      </c>
      <c r="M858" t="b">
        <v>1</v>
      </c>
      <c r="N858" t="s">
        <v>675</v>
      </c>
      <c r="P858" t="s">
        <v>1499</v>
      </c>
      <c r="Q858" t="b">
        <v>1</v>
      </c>
      <c r="S858" t="str">
        <f>"9780310706526"</f>
        <v>9780310706526</v>
      </c>
      <c r="T858" t="str">
        <f>"9780310424253"</f>
        <v>9780310424253</v>
      </c>
      <c r="U858" t="b">
        <v>0</v>
      </c>
      <c r="W858" t="b">
        <v>0</v>
      </c>
    </row>
    <row r="859" spans="1:23" x14ac:dyDescent="0.3">
      <c r="A859">
        <v>2982698</v>
      </c>
      <c r="B859">
        <v>17.22</v>
      </c>
      <c r="C859" t="s">
        <v>2005</v>
      </c>
      <c r="D859" t="s">
        <v>138</v>
      </c>
      <c r="E859" t="s">
        <v>23</v>
      </c>
      <c r="F859" t="s">
        <v>28</v>
      </c>
      <c r="G859">
        <v>2010</v>
      </c>
      <c r="H859" t="s">
        <v>144</v>
      </c>
      <c r="K859" t="s">
        <v>25</v>
      </c>
      <c r="L859" t="s">
        <v>30</v>
      </c>
      <c r="M859" t="b">
        <v>1</v>
      </c>
      <c r="N859" t="s">
        <v>1417</v>
      </c>
      <c r="P859" t="s">
        <v>1637</v>
      </c>
      <c r="Q859" t="b">
        <v>0</v>
      </c>
      <c r="S859" t="str">
        <f>"9780310720096"</f>
        <v>9780310720096</v>
      </c>
      <c r="T859" t="str">
        <f>"9780310424697"</f>
        <v>9780310424697</v>
      </c>
      <c r="U859" t="b">
        <v>0</v>
      </c>
      <c r="W859" t="b">
        <v>0</v>
      </c>
    </row>
    <row r="860" spans="1:23" x14ac:dyDescent="0.3">
      <c r="A860">
        <v>2982697</v>
      </c>
      <c r="B860">
        <v>56.82</v>
      </c>
      <c r="C860" t="s">
        <v>2006</v>
      </c>
      <c r="E860" t="s">
        <v>23</v>
      </c>
      <c r="F860" t="s">
        <v>28</v>
      </c>
      <c r="G860">
        <v>2015</v>
      </c>
      <c r="H860" t="s">
        <v>230</v>
      </c>
      <c r="K860" t="s">
        <v>25</v>
      </c>
      <c r="L860" t="s">
        <v>30</v>
      </c>
      <c r="M860" t="b">
        <v>1</v>
      </c>
      <c r="N860" t="s">
        <v>83</v>
      </c>
      <c r="P860" t="s">
        <v>1372</v>
      </c>
      <c r="Q860" t="b">
        <v>1</v>
      </c>
      <c r="T860" t="str">
        <f>"9780310753322"</f>
        <v>9780310753322</v>
      </c>
      <c r="U860" t="b">
        <v>0</v>
      </c>
      <c r="W860" t="b">
        <v>0</v>
      </c>
    </row>
    <row r="861" spans="1:23" x14ac:dyDescent="0.3">
      <c r="A861">
        <v>2982696</v>
      </c>
      <c r="B861">
        <v>44.82</v>
      </c>
      <c r="C861" t="s">
        <v>2007</v>
      </c>
      <c r="D861" t="s">
        <v>1570</v>
      </c>
      <c r="E861" t="s">
        <v>23</v>
      </c>
      <c r="F861" t="s">
        <v>28</v>
      </c>
      <c r="G861">
        <v>2014</v>
      </c>
      <c r="H861" t="s">
        <v>168</v>
      </c>
      <c r="K861" t="s">
        <v>25</v>
      </c>
      <c r="L861" t="s">
        <v>30</v>
      </c>
      <c r="M861" t="b">
        <v>1</v>
      </c>
      <c r="N861" t="s">
        <v>2008</v>
      </c>
      <c r="P861" t="s">
        <v>234</v>
      </c>
      <c r="Q861" t="b">
        <v>0</v>
      </c>
      <c r="S861" t="str">
        <f>"9780310746171"</f>
        <v>9780310746171</v>
      </c>
      <c r="T861" t="str">
        <f>"9780310746201"</f>
        <v>9780310746201</v>
      </c>
      <c r="U861" t="b">
        <v>0</v>
      </c>
      <c r="W861" t="b">
        <v>0</v>
      </c>
    </row>
    <row r="862" spans="1:23" x14ac:dyDescent="0.3">
      <c r="A862">
        <v>2982695</v>
      </c>
      <c r="B862">
        <v>27.57</v>
      </c>
      <c r="C862" t="s">
        <v>2009</v>
      </c>
      <c r="D862" t="s">
        <v>2010</v>
      </c>
      <c r="E862" t="s">
        <v>23</v>
      </c>
      <c r="F862" t="s">
        <v>28</v>
      </c>
      <c r="G862">
        <v>2011</v>
      </c>
      <c r="H862" t="s">
        <v>1422</v>
      </c>
      <c r="K862" t="s">
        <v>25</v>
      </c>
      <c r="L862" t="s">
        <v>30</v>
      </c>
      <c r="M862" t="b">
        <v>1</v>
      </c>
      <c r="N862" t="s">
        <v>1632</v>
      </c>
      <c r="Q862" t="b">
        <v>1</v>
      </c>
      <c r="S862" t="str">
        <f>"9780310722946"</f>
        <v>9780310722946</v>
      </c>
      <c r="T862" t="str">
        <f>"9780310422822"</f>
        <v>9780310422822</v>
      </c>
      <c r="U862" t="b">
        <v>0</v>
      </c>
      <c r="W862" t="b">
        <v>0</v>
      </c>
    </row>
    <row r="863" spans="1:23" x14ac:dyDescent="0.3">
      <c r="A863">
        <v>2982694</v>
      </c>
      <c r="B863">
        <v>35.5</v>
      </c>
      <c r="C863" t="s">
        <v>2011</v>
      </c>
      <c r="E863" t="s">
        <v>23</v>
      </c>
      <c r="F863" t="s">
        <v>28</v>
      </c>
      <c r="G863">
        <v>2011</v>
      </c>
      <c r="H863" t="s">
        <v>141</v>
      </c>
      <c r="K863" t="s">
        <v>25</v>
      </c>
      <c r="L863" t="s">
        <v>30</v>
      </c>
      <c r="M863" t="b">
        <v>1</v>
      </c>
      <c r="N863" t="s">
        <v>2012</v>
      </c>
      <c r="Q863" t="b">
        <v>0</v>
      </c>
      <c r="T863" t="str">
        <f>"9780310424130"</f>
        <v>9780310424130</v>
      </c>
      <c r="U863" t="b">
        <v>0</v>
      </c>
      <c r="W863" t="b">
        <v>0</v>
      </c>
    </row>
    <row r="864" spans="1:23" x14ac:dyDescent="0.3">
      <c r="A864">
        <v>2982693</v>
      </c>
      <c r="B864">
        <v>17.22</v>
      </c>
      <c r="C864" t="s">
        <v>2013</v>
      </c>
      <c r="D864" t="s">
        <v>138</v>
      </c>
      <c r="E864" t="s">
        <v>23</v>
      </c>
      <c r="F864" t="s">
        <v>28</v>
      </c>
      <c r="G864">
        <v>2011</v>
      </c>
      <c r="H864" t="s">
        <v>144</v>
      </c>
      <c r="K864" t="s">
        <v>25</v>
      </c>
      <c r="L864" t="s">
        <v>30</v>
      </c>
      <c r="M864" t="b">
        <v>1</v>
      </c>
      <c r="N864" t="s">
        <v>44</v>
      </c>
      <c r="P864" t="s">
        <v>1637</v>
      </c>
      <c r="Q864" t="b">
        <v>0</v>
      </c>
      <c r="S864" t="str">
        <f>"9780310721840"</f>
        <v>9780310721840</v>
      </c>
      <c r="T864" t="str">
        <f>"9780310410096"</f>
        <v>9780310410096</v>
      </c>
      <c r="U864" t="b">
        <v>0</v>
      </c>
      <c r="W864" t="b">
        <v>0</v>
      </c>
    </row>
    <row r="865" spans="1:23" x14ac:dyDescent="0.3">
      <c r="A865">
        <v>2982692</v>
      </c>
      <c r="B865">
        <v>21.29</v>
      </c>
      <c r="C865" t="s">
        <v>2014</v>
      </c>
      <c r="E865" t="s">
        <v>23</v>
      </c>
      <c r="F865" t="s">
        <v>28</v>
      </c>
      <c r="G865">
        <v>2016</v>
      </c>
      <c r="H865" t="s">
        <v>2015</v>
      </c>
      <c r="K865" t="s">
        <v>25</v>
      </c>
      <c r="L865" t="s">
        <v>26</v>
      </c>
      <c r="M865" t="b">
        <v>1</v>
      </c>
      <c r="N865" t="s">
        <v>83</v>
      </c>
      <c r="P865" t="s">
        <v>84</v>
      </c>
      <c r="Q865" t="b">
        <v>0</v>
      </c>
      <c r="T865" t="str">
        <f>"9780310755227"</f>
        <v>9780310755227</v>
      </c>
      <c r="U865" t="b">
        <v>0</v>
      </c>
      <c r="W865" t="b">
        <v>0</v>
      </c>
    </row>
    <row r="866" spans="1:23" x14ac:dyDescent="0.3">
      <c r="A866">
        <v>2982691</v>
      </c>
      <c r="B866">
        <v>24.12</v>
      </c>
      <c r="C866" t="s">
        <v>2016</v>
      </c>
      <c r="D866">
        <v>9780310700074</v>
      </c>
      <c r="E866" t="s">
        <v>23</v>
      </c>
      <c r="F866" t="s">
        <v>28</v>
      </c>
      <c r="G866">
        <v>2015</v>
      </c>
      <c r="H866" t="s">
        <v>2017</v>
      </c>
      <c r="K866" t="s">
        <v>25</v>
      </c>
      <c r="L866" t="s">
        <v>26</v>
      </c>
      <c r="M866" t="b">
        <v>1</v>
      </c>
      <c r="N866" t="s">
        <v>2018</v>
      </c>
      <c r="Q866" t="b">
        <v>1</v>
      </c>
      <c r="S866" t="str">
        <f>"9780310700081"</f>
        <v>9780310700081</v>
      </c>
      <c r="T866" t="str">
        <f>"9780310700074"</f>
        <v>9780310700074</v>
      </c>
      <c r="U866" t="b">
        <v>0</v>
      </c>
      <c r="W866" t="b">
        <v>0</v>
      </c>
    </row>
    <row r="867" spans="1:23" x14ac:dyDescent="0.3">
      <c r="A867">
        <v>2982690</v>
      </c>
      <c r="B867">
        <v>17.22</v>
      </c>
      <c r="C867" t="s">
        <v>2019</v>
      </c>
      <c r="D867" t="s">
        <v>143</v>
      </c>
      <c r="E867" t="s">
        <v>23</v>
      </c>
      <c r="F867" t="s">
        <v>28</v>
      </c>
      <c r="G867">
        <v>2011</v>
      </c>
      <c r="H867" t="s">
        <v>34</v>
      </c>
      <c r="K867" t="s">
        <v>25</v>
      </c>
      <c r="L867" t="s">
        <v>30</v>
      </c>
      <c r="M867" t="b">
        <v>1</v>
      </c>
      <c r="N867" t="s">
        <v>1690</v>
      </c>
      <c r="P867" t="s">
        <v>1691</v>
      </c>
      <c r="Q867" t="b">
        <v>1</v>
      </c>
      <c r="S867" t="str">
        <f>"9780310716068"</f>
        <v>9780310716068</v>
      </c>
      <c r="T867" t="str">
        <f>"9780310868767"</f>
        <v>9780310868767</v>
      </c>
      <c r="U867" t="b">
        <v>0</v>
      </c>
      <c r="W867" t="b">
        <v>0</v>
      </c>
    </row>
    <row r="868" spans="1:23" x14ac:dyDescent="0.3">
      <c r="A868">
        <v>2982689</v>
      </c>
      <c r="B868">
        <v>28.39</v>
      </c>
      <c r="C868" t="s">
        <v>2020</v>
      </c>
      <c r="E868" t="s">
        <v>23</v>
      </c>
      <c r="F868" t="s">
        <v>28</v>
      </c>
      <c r="G868">
        <v>2012</v>
      </c>
      <c r="H868" t="s">
        <v>1603</v>
      </c>
      <c r="K868" t="s">
        <v>25</v>
      </c>
      <c r="L868" t="s">
        <v>30</v>
      </c>
      <c r="M868" t="b">
        <v>1</v>
      </c>
      <c r="N868" t="s">
        <v>1604</v>
      </c>
      <c r="P868" t="s">
        <v>1605</v>
      </c>
      <c r="Q868" t="b">
        <v>1</v>
      </c>
      <c r="T868" t="str">
        <f>"9780310726166"</f>
        <v>9780310726166</v>
      </c>
      <c r="U868" t="b">
        <v>0</v>
      </c>
      <c r="W868" t="b">
        <v>0</v>
      </c>
    </row>
    <row r="869" spans="1:23" x14ac:dyDescent="0.3">
      <c r="A869">
        <v>2982688</v>
      </c>
      <c r="B869">
        <v>24.84</v>
      </c>
      <c r="C869" t="s">
        <v>2021</v>
      </c>
      <c r="E869" t="s">
        <v>23</v>
      </c>
      <c r="F869" t="s">
        <v>28</v>
      </c>
      <c r="G869">
        <v>2011</v>
      </c>
      <c r="H869" t="s">
        <v>265</v>
      </c>
      <c r="K869" t="s">
        <v>25</v>
      </c>
      <c r="L869" t="s">
        <v>30</v>
      </c>
      <c r="M869" t="b">
        <v>1</v>
      </c>
      <c r="N869" t="s">
        <v>2022</v>
      </c>
      <c r="P869" t="s">
        <v>1930</v>
      </c>
      <c r="Q869" t="b">
        <v>1</v>
      </c>
      <c r="T869" t="str">
        <f>"9780310727828"</f>
        <v>9780310727828</v>
      </c>
      <c r="U869" t="b">
        <v>0</v>
      </c>
      <c r="W869" t="b">
        <v>0</v>
      </c>
    </row>
    <row r="870" spans="1:23" x14ac:dyDescent="0.3">
      <c r="A870">
        <v>2982687</v>
      </c>
      <c r="B870">
        <v>34.47</v>
      </c>
      <c r="C870" t="s">
        <v>2023</v>
      </c>
      <c r="D870" t="s">
        <v>2024</v>
      </c>
      <c r="E870" t="s">
        <v>23</v>
      </c>
      <c r="F870" t="s">
        <v>28</v>
      </c>
      <c r="G870">
        <v>2012</v>
      </c>
      <c r="H870" t="s">
        <v>716</v>
      </c>
      <c r="K870" t="s">
        <v>25</v>
      </c>
      <c r="L870" t="s">
        <v>30</v>
      </c>
      <c r="M870" t="b">
        <v>1</v>
      </c>
      <c r="N870" t="s">
        <v>1908</v>
      </c>
      <c r="P870" t="s">
        <v>1909</v>
      </c>
      <c r="Q870" t="b">
        <v>1</v>
      </c>
      <c r="S870" t="str">
        <f>"9780310726937"</f>
        <v>9780310726937</v>
      </c>
      <c r="T870" t="str">
        <f>"9780310726524"</f>
        <v>9780310726524</v>
      </c>
      <c r="U870" t="b">
        <v>0</v>
      </c>
      <c r="W870" t="b">
        <v>0</v>
      </c>
    </row>
    <row r="871" spans="1:23" x14ac:dyDescent="0.3">
      <c r="A871">
        <v>2982686</v>
      </c>
      <c r="B871">
        <v>3.52</v>
      </c>
      <c r="C871" t="s">
        <v>2025</v>
      </c>
      <c r="D871" t="s">
        <v>191</v>
      </c>
      <c r="E871" t="s">
        <v>23</v>
      </c>
      <c r="F871" t="s">
        <v>28</v>
      </c>
      <c r="G871">
        <v>2020</v>
      </c>
      <c r="H871" t="s">
        <v>192</v>
      </c>
      <c r="I871" t="s">
        <v>2026</v>
      </c>
      <c r="J871" t="s">
        <v>1987</v>
      </c>
      <c r="K871" t="s">
        <v>25</v>
      </c>
      <c r="L871" t="s">
        <v>26</v>
      </c>
      <c r="M871" t="b">
        <v>1</v>
      </c>
      <c r="N871" t="s">
        <v>2027</v>
      </c>
      <c r="O871" t="str">
        <f>"813/.6"</f>
        <v>813/.6</v>
      </c>
      <c r="Q871" t="b">
        <v>1</v>
      </c>
      <c r="T871" t="str">
        <f>"9780310735199"</f>
        <v>9780310735199</v>
      </c>
      <c r="U871" t="b">
        <v>0</v>
      </c>
      <c r="W871" t="b">
        <v>0</v>
      </c>
    </row>
    <row r="872" spans="1:23" x14ac:dyDescent="0.3">
      <c r="A872">
        <v>2982685</v>
      </c>
      <c r="B872">
        <v>7.07</v>
      </c>
      <c r="C872" t="s">
        <v>2028</v>
      </c>
      <c r="E872" t="s">
        <v>23</v>
      </c>
      <c r="F872" t="s">
        <v>28</v>
      </c>
      <c r="G872">
        <v>2009</v>
      </c>
      <c r="H872" t="s">
        <v>252</v>
      </c>
      <c r="K872" t="s">
        <v>25</v>
      </c>
      <c r="L872" t="s">
        <v>26</v>
      </c>
      <c r="M872" t="b">
        <v>1</v>
      </c>
      <c r="N872" t="s">
        <v>146</v>
      </c>
      <c r="P872" t="s">
        <v>146</v>
      </c>
      <c r="Q872" t="b">
        <v>0</v>
      </c>
      <c r="T872" t="str">
        <f>"9780310868330"</f>
        <v>9780310868330</v>
      </c>
      <c r="U872" t="b">
        <v>0</v>
      </c>
      <c r="W872" t="b">
        <v>0</v>
      </c>
    </row>
    <row r="873" spans="1:23" x14ac:dyDescent="0.3">
      <c r="A873">
        <v>2982684</v>
      </c>
      <c r="B873">
        <v>17.22</v>
      </c>
      <c r="C873" t="s">
        <v>2029</v>
      </c>
      <c r="D873" t="s">
        <v>93</v>
      </c>
      <c r="E873" t="s">
        <v>23</v>
      </c>
      <c r="F873" t="s">
        <v>28</v>
      </c>
      <c r="G873">
        <v>2009</v>
      </c>
      <c r="H873" t="s">
        <v>34</v>
      </c>
      <c r="K873" t="s">
        <v>25</v>
      </c>
      <c r="L873" t="s">
        <v>30</v>
      </c>
      <c r="M873" t="b">
        <v>1</v>
      </c>
      <c r="N873" t="s">
        <v>480</v>
      </c>
      <c r="P873" t="s">
        <v>1519</v>
      </c>
      <c r="Q873" t="b">
        <v>1</v>
      </c>
      <c r="S873" t="str">
        <f>"9780310717065"</f>
        <v>9780310717065</v>
      </c>
      <c r="T873" t="str">
        <f>"9780310868958"</f>
        <v>9780310868958</v>
      </c>
      <c r="U873" t="b">
        <v>0</v>
      </c>
      <c r="W873" t="b">
        <v>0</v>
      </c>
    </row>
    <row r="874" spans="1:23" x14ac:dyDescent="0.3">
      <c r="A874">
        <v>2982683</v>
      </c>
      <c r="B874">
        <v>31.02</v>
      </c>
      <c r="C874" t="s">
        <v>2030</v>
      </c>
      <c r="E874" t="s">
        <v>23</v>
      </c>
      <c r="F874" t="s">
        <v>28</v>
      </c>
      <c r="G874">
        <v>2016</v>
      </c>
      <c r="H874" t="s">
        <v>1337</v>
      </c>
      <c r="K874" t="s">
        <v>25</v>
      </c>
      <c r="L874" t="s">
        <v>26</v>
      </c>
      <c r="M874" t="b">
        <v>1</v>
      </c>
      <c r="N874" t="s">
        <v>1514</v>
      </c>
      <c r="P874" t="s">
        <v>1515</v>
      </c>
      <c r="Q874" t="b">
        <v>1</v>
      </c>
      <c r="S874" t="str">
        <f>"9780310752509"</f>
        <v>9780310752509</v>
      </c>
      <c r="T874" t="str">
        <f>"9780310752622"</f>
        <v>9780310752622</v>
      </c>
      <c r="U874" t="b">
        <v>0</v>
      </c>
      <c r="W874" t="b">
        <v>0</v>
      </c>
    </row>
    <row r="875" spans="1:23" x14ac:dyDescent="0.3">
      <c r="A875">
        <v>2982682</v>
      </c>
      <c r="B875">
        <v>35.5</v>
      </c>
      <c r="C875" t="s">
        <v>2031</v>
      </c>
      <c r="D875" t="s">
        <v>2032</v>
      </c>
      <c r="E875" t="s">
        <v>23</v>
      </c>
      <c r="F875" t="s">
        <v>28</v>
      </c>
      <c r="G875">
        <v>2010</v>
      </c>
      <c r="H875" t="s">
        <v>168</v>
      </c>
      <c r="K875" t="s">
        <v>25</v>
      </c>
      <c r="L875" t="s">
        <v>26</v>
      </c>
      <c r="M875" t="b">
        <v>1</v>
      </c>
      <c r="N875" t="s">
        <v>2033</v>
      </c>
      <c r="P875" t="s">
        <v>84</v>
      </c>
      <c r="Q875" t="b">
        <v>0</v>
      </c>
      <c r="S875" t="str">
        <f>"9780310714491"</f>
        <v>9780310714491</v>
      </c>
      <c r="T875" t="str">
        <f>"9780310876779"</f>
        <v>9780310876779</v>
      </c>
      <c r="U875" t="b">
        <v>0</v>
      </c>
      <c r="W875" t="b">
        <v>0</v>
      </c>
    </row>
    <row r="876" spans="1:23" x14ac:dyDescent="0.3">
      <c r="A876">
        <v>2982681</v>
      </c>
      <c r="B876">
        <v>13.77</v>
      </c>
      <c r="C876" t="s">
        <v>2034</v>
      </c>
      <c r="E876" t="s">
        <v>23</v>
      </c>
      <c r="F876" t="s">
        <v>28</v>
      </c>
      <c r="G876">
        <v>2010</v>
      </c>
      <c r="H876" t="s">
        <v>704</v>
      </c>
      <c r="K876" t="s">
        <v>25</v>
      </c>
      <c r="L876" t="s">
        <v>30</v>
      </c>
      <c r="M876" t="b">
        <v>1</v>
      </c>
      <c r="N876" t="s">
        <v>1592</v>
      </c>
      <c r="P876" t="s">
        <v>1593</v>
      </c>
      <c r="Q876" t="b">
        <v>1</v>
      </c>
      <c r="S876" t="str">
        <f>"9780310715955"</f>
        <v>9780310715955</v>
      </c>
      <c r="T876" t="str">
        <f>"9780310423775"</f>
        <v>9780310423775</v>
      </c>
      <c r="U876" t="b">
        <v>0</v>
      </c>
      <c r="W876" t="b">
        <v>0</v>
      </c>
    </row>
    <row r="877" spans="1:23" x14ac:dyDescent="0.3">
      <c r="A877">
        <v>2982680</v>
      </c>
      <c r="B877">
        <v>55.17</v>
      </c>
      <c r="C877" t="s">
        <v>2035</v>
      </c>
      <c r="D877" t="s">
        <v>2036</v>
      </c>
      <c r="E877" t="s">
        <v>23</v>
      </c>
      <c r="F877" t="s">
        <v>28</v>
      </c>
      <c r="G877">
        <v>2010</v>
      </c>
      <c r="H877" t="s">
        <v>192</v>
      </c>
      <c r="K877" t="s">
        <v>25</v>
      </c>
      <c r="L877" t="s">
        <v>30</v>
      </c>
      <c r="M877" t="b">
        <v>1</v>
      </c>
      <c r="N877" t="s">
        <v>1618</v>
      </c>
      <c r="Q877" t="b">
        <v>1</v>
      </c>
      <c r="S877" t="str">
        <f>"9780310730125"</f>
        <v>9780310730125</v>
      </c>
      <c r="T877" t="str">
        <f>"9780310866442"</f>
        <v>9780310866442</v>
      </c>
      <c r="U877" t="b">
        <v>0</v>
      </c>
      <c r="W877" t="b">
        <v>0</v>
      </c>
    </row>
    <row r="878" spans="1:23" x14ac:dyDescent="0.3">
      <c r="A878">
        <v>2982679</v>
      </c>
      <c r="B878">
        <v>27.57</v>
      </c>
      <c r="C878" t="s">
        <v>2037</v>
      </c>
      <c r="E878" t="s">
        <v>23</v>
      </c>
      <c r="F878" t="s">
        <v>28</v>
      </c>
      <c r="G878">
        <v>2012</v>
      </c>
      <c r="H878" t="s">
        <v>717</v>
      </c>
      <c r="K878" t="s">
        <v>25</v>
      </c>
      <c r="L878" t="s">
        <v>30</v>
      </c>
      <c r="M878" t="b">
        <v>1</v>
      </c>
      <c r="N878" t="s">
        <v>1792</v>
      </c>
      <c r="Q878" t="b">
        <v>1</v>
      </c>
      <c r="S878" t="str">
        <f>"9780310723219"</f>
        <v>9780310723219</v>
      </c>
      <c r="T878" t="str">
        <f>"9780310401315"</f>
        <v>9780310401315</v>
      </c>
      <c r="U878" t="b">
        <v>0</v>
      </c>
      <c r="W878" t="b">
        <v>0</v>
      </c>
    </row>
    <row r="879" spans="1:23" x14ac:dyDescent="0.3">
      <c r="A879">
        <v>2982678</v>
      </c>
      <c r="B879">
        <v>56.82</v>
      </c>
      <c r="C879" t="s">
        <v>2038</v>
      </c>
      <c r="D879" t="s">
        <v>2039</v>
      </c>
      <c r="E879" t="s">
        <v>23</v>
      </c>
      <c r="F879" t="s">
        <v>28</v>
      </c>
      <c r="G879">
        <v>2016</v>
      </c>
      <c r="H879" t="s">
        <v>640</v>
      </c>
      <c r="K879" t="s">
        <v>25</v>
      </c>
      <c r="L879" t="s">
        <v>30</v>
      </c>
      <c r="M879" t="b">
        <v>1</v>
      </c>
      <c r="N879" t="s">
        <v>44</v>
      </c>
      <c r="P879" t="s">
        <v>84</v>
      </c>
      <c r="Q879" t="b">
        <v>0</v>
      </c>
      <c r="T879" t="str">
        <f>"9780310753353"</f>
        <v>9780310753353</v>
      </c>
      <c r="U879" t="b">
        <v>0</v>
      </c>
      <c r="W879" t="b">
        <v>0</v>
      </c>
    </row>
    <row r="880" spans="1:23" x14ac:dyDescent="0.3">
      <c r="A880">
        <v>2982677</v>
      </c>
      <c r="B880">
        <v>27.57</v>
      </c>
      <c r="C880" t="s">
        <v>2040</v>
      </c>
      <c r="E880" t="s">
        <v>23</v>
      </c>
      <c r="F880" t="s">
        <v>28</v>
      </c>
      <c r="G880">
        <v>2010</v>
      </c>
      <c r="H880" t="s">
        <v>1746</v>
      </c>
      <c r="K880" t="s">
        <v>25</v>
      </c>
      <c r="L880" t="s">
        <v>30</v>
      </c>
      <c r="M880" t="b">
        <v>1</v>
      </c>
      <c r="N880" t="s">
        <v>1346</v>
      </c>
      <c r="P880" t="s">
        <v>1347</v>
      </c>
      <c r="Q880" t="b">
        <v>1</v>
      </c>
      <c r="S880" t="str">
        <f>"9780310717973"</f>
        <v>9780310717973</v>
      </c>
      <c r="T880" t="str">
        <f>"9780310429357"</f>
        <v>9780310429357</v>
      </c>
      <c r="U880" t="b">
        <v>0</v>
      </c>
      <c r="W880" t="b">
        <v>0</v>
      </c>
    </row>
    <row r="881" spans="1:23" x14ac:dyDescent="0.3">
      <c r="A881">
        <v>2982676</v>
      </c>
      <c r="B881">
        <v>24.12</v>
      </c>
      <c r="C881" t="s">
        <v>2041</v>
      </c>
      <c r="D881" t="s">
        <v>1885</v>
      </c>
      <c r="E881" t="s">
        <v>23</v>
      </c>
      <c r="F881" t="s">
        <v>28</v>
      </c>
      <c r="G881">
        <v>2010</v>
      </c>
      <c r="H881" t="s">
        <v>713</v>
      </c>
      <c r="K881" t="s">
        <v>25</v>
      </c>
      <c r="L881" t="s">
        <v>26</v>
      </c>
      <c r="M881" t="b">
        <v>1</v>
      </c>
      <c r="N881" t="s">
        <v>1884</v>
      </c>
      <c r="P881" t="s">
        <v>1885</v>
      </c>
      <c r="Q881" t="b">
        <v>1</v>
      </c>
      <c r="S881" t="str">
        <f>"9780310722656"</f>
        <v>9780310722656</v>
      </c>
      <c r="T881" t="str">
        <f>"9780310423980"</f>
        <v>9780310423980</v>
      </c>
      <c r="U881" t="b">
        <v>0</v>
      </c>
      <c r="W881" t="b">
        <v>0</v>
      </c>
    </row>
    <row r="882" spans="1:23" x14ac:dyDescent="0.3">
      <c r="A882">
        <v>2982675</v>
      </c>
      <c r="B882">
        <v>17.22</v>
      </c>
      <c r="C882" t="s">
        <v>2042</v>
      </c>
      <c r="D882" t="s">
        <v>138</v>
      </c>
      <c r="E882" t="s">
        <v>23</v>
      </c>
      <c r="F882" t="s">
        <v>28</v>
      </c>
      <c r="G882">
        <v>1990</v>
      </c>
      <c r="H882" t="s">
        <v>34</v>
      </c>
      <c r="K882" t="s">
        <v>25</v>
      </c>
      <c r="L882" t="s">
        <v>30</v>
      </c>
      <c r="M882" t="b">
        <v>1</v>
      </c>
      <c r="N882" t="s">
        <v>480</v>
      </c>
      <c r="P882" t="s">
        <v>1755</v>
      </c>
      <c r="Q882" t="b">
        <v>1</v>
      </c>
      <c r="S882" t="str">
        <f>"9780310716792"</f>
        <v>9780310716792</v>
      </c>
      <c r="T882" t="str">
        <f>"9780310868781"</f>
        <v>9780310868781</v>
      </c>
      <c r="U882" t="b">
        <v>0</v>
      </c>
      <c r="W882" t="b">
        <v>0</v>
      </c>
    </row>
    <row r="883" spans="1:23" x14ac:dyDescent="0.3">
      <c r="A883">
        <v>2982674</v>
      </c>
      <c r="B883">
        <v>46.16</v>
      </c>
      <c r="C883" t="s">
        <v>2043</v>
      </c>
      <c r="E883" t="s">
        <v>23</v>
      </c>
      <c r="F883" t="s">
        <v>28</v>
      </c>
      <c r="G883">
        <v>2010</v>
      </c>
      <c r="H883" t="s">
        <v>41</v>
      </c>
      <c r="K883" t="s">
        <v>25</v>
      </c>
      <c r="L883" t="s">
        <v>30</v>
      </c>
      <c r="M883" t="b">
        <v>1</v>
      </c>
      <c r="N883" t="s">
        <v>31</v>
      </c>
      <c r="Q883" t="b">
        <v>1</v>
      </c>
      <c r="T883" t="str">
        <f>"9780310416654"</f>
        <v>9780310416654</v>
      </c>
      <c r="U883" t="b">
        <v>0</v>
      </c>
      <c r="W883" t="b">
        <v>0</v>
      </c>
    </row>
    <row r="884" spans="1:23" x14ac:dyDescent="0.3">
      <c r="A884">
        <v>2982673</v>
      </c>
      <c r="B884">
        <v>17.73</v>
      </c>
      <c r="C884" t="s">
        <v>2044</v>
      </c>
      <c r="E884" t="s">
        <v>23</v>
      </c>
      <c r="F884" t="s">
        <v>28</v>
      </c>
      <c r="G884">
        <v>2009</v>
      </c>
      <c r="H884" t="s">
        <v>718</v>
      </c>
      <c r="K884" t="s">
        <v>25</v>
      </c>
      <c r="L884" t="s">
        <v>30</v>
      </c>
      <c r="M884" t="b">
        <v>1</v>
      </c>
      <c r="N884" t="s">
        <v>408</v>
      </c>
      <c r="P884" t="s">
        <v>1587</v>
      </c>
      <c r="Q884" t="b">
        <v>1</v>
      </c>
      <c r="T884" t="str">
        <f>"9780310855989"</f>
        <v>9780310855989</v>
      </c>
      <c r="U884" t="b">
        <v>0</v>
      </c>
      <c r="W884" t="b">
        <v>0</v>
      </c>
    </row>
    <row r="885" spans="1:23" x14ac:dyDescent="0.3">
      <c r="A885">
        <v>2982672</v>
      </c>
      <c r="B885">
        <v>31.95</v>
      </c>
      <c r="C885" t="s">
        <v>2045</v>
      </c>
      <c r="D885" t="s">
        <v>1813</v>
      </c>
      <c r="E885" t="s">
        <v>23</v>
      </c>
      <c r="F885" t="s">
        <v>28</v>
      </c>
      <c r="G885">
        <v>2011</v>
      </c>
      <c r="H885" t="s">
        <v>91</v>
      </c>
      <c r="K885" t="s">
        <v>25</v>
      </c>
      <c r="L885" t="s">
        <v>30</v>
      </c>
      <c r="M885" t="b">
        <v>1</v>
      </c>
      <c r="N885" t="s">
        <v>175</v>
      </c>
      <c r="Q885" t="b">
        <v>1</v>
      </c>
      <c r="T885" t="str">
        <f>"9780310727200"</f>
        <v>9780310727200</v>
      </c>
      <c r="U885" t="b">
        <v>0</v>
      </c>
      <c r="W885" t="b">
        <v>0</v>
      </c>
    </row>
    <row r="886" spans="1:23" x14ac:dyDescent="0.3">
      <c r="A886">
        <v>2982671</v>
      </c>
      <c r="B886">
        <v>35.5</v>
      </c>
      <c r="C886" t="s">
        <v>2046</v>
      </c>
      <c r="D886" t="s">
        <v>2047</v>
      </c>
      <c r="E886" t="s">
        <v>23</v>
      </c>
      <c r="F886" t="s">
        <v>28</v>
      </c>
      <c r="G886">
        <v>2016</v>
      </c>
      <c r="H886" t="s">
        <v>1825</v>
      </c>
      <c r="K886" t="s">
        <v>25</v>
      </c>
      <c r="L886" t="s">
        <v>26</v>
      </c>
      <c r="M886" t="b">
        <v>1</v>
      </c>
      <c r="N886" t="s">
        <v>1581</v>
      </c>
      <c r="P886" t="s">
        <v>84</v>
      </c>
      <c r="Q886" t="b">
        <v>0</v>
      </c>
      <c r="T886" t="str">
        <f>"9780310755654"</f>
        <v>9780310755654</v>
      </c>
      <c r="U886" t="b">
        <v>0</v>
      </c>
      <c r="W886" t="b">
        <v>0</v>
      </c>
    </row>
    <row r="887" spans="1:23" x14ac:dyDescent="0.3">
      <c r="A887">
        <v>2982670</v>
      </c>
      <c r="B887">
        <v>35.5</v>
      </c>
      <c r="C887" t="s">
        <v>2048</v>
      </c>
      <c r="D887" t="s">
        <v>264</v>
      </c>
      <c r="E887" t="s">
        <v>23</v>
      </c>
      <c r="F887" t="s">
        <v>28</v>
      </c>
      <c r="G887">
        <v>2011</v>
      </c>
      <c r="H887" t="s">
        <v>265</v>
      </c>
      <c r="K887" t="s">
        <v>25</v>
      </c>
      <c r="L887" t="s">
        <v>30</v>
      </c>
      <c r="M887" t="b">
        <v>1</v>
      </c>
      <c r="N887" t="s">
        <v>63</v>
      </c>
      <c r="Q887" t="b">
        <v>1</v>
      </c>
      <c r="T887" t="str">
        <f>"9780310424055"</f>
        <v>9780310424055</v>
      </c>
      <c r="U887" t="b">
        <v>0</v>
      </c>
      <c r="W887" t="b">
        <v>0</v>
      </c>
    </row>
    <row r="888" spans="1:23" x14ac:dyDescent="0.3">
      <c r="A888">
        <v>2982669</v>
      </c>
      <c r="B888">
        <v>71.03</v>
      </c>
      <c r="C888" t="s">
        <v>2049</v>
      </c>
      <c r="E888" t="s">
        <v>23</v>
      </c>
      <c r="F888" t="s">
        <v>28</v>
      </c>
      <c r="G888">
        <v>2015</v>
      </c>
      <c r="H888" t="s">
        <v>1315</v>
      </c>
      <c r="K888" t="s">
        <v>25</v>
      </c>
      <c r="L888" t="s">
        <v>30</v>
      </c>
      <c r="M888" t="b">
        <v>1</v>
      </c>
      <c r="N888" t="s">
        <v>44</v>
      </c>
      <c r="Q888" t="b">
        <v>0</v>
      </c>
      <c r="T888" t="str">
        <f>"9780310754626"</f>
        <v>9780310754626</v>
      </c>
      <c r="U888" t="b">
        <v>0</v>
      </c>
      <c r="W888" t="b">
        <v>0</v>
      </c>
    </row>
    <row r="889" spans="1:23" x14ac:dyDescent="0.3">
      <c r="A889">
        <v>2982668</v>
      </c>
      <c r="B889">
        <v>17.73</v>
      </c>
      <c r="C889" t="s">
        <v>2050</v>
      </c>
      <c r="E889" t="s">
        <v>23</v>
      </c>
      <c r="F889" t="s">
        <v>28</v>
      </c>
      <c r="G889">
        <v>2011</v>
      </c>
      <c r="H889" t="s">
        <v>34</v>
      </c>
      <c r="K889" t="s">
        <v>25</v>
      </c>
      <c r="L889" t="s">
        <v>30</v>
      </c>
      <c r="M889" t="b">
        <v>1</v>
      </c>
      <c r="N889" t="s">
        <v>675</v>
      </c>
      <c r="P889" t="s">
        <v>721</v>
      </c>
      <c r="Q889" t="b">
        <v>1</v>
      </c>
      <c r="T889" t="str">
        <f>"9780310424222"</f>
        <v>9780310424222</v>
      </c>
      <c r="U889" t="b">
        <v>0</v>
      </c>
      <c r="W889" t="b">
        <v>0</v>
      </c>
    </row>
    <row r="890" spans="1:23" x14ac:dyDescent="0.3">
      <c r="A890">
        <v>2982667</v>
      </c>
      <c r="B890">
        <v>53.27</v>
      </c>
      <c r="C890" t="s">
        <v>2051</v>
      </c>
      <c r="E890" t="s">
        <v>23</v>
      </c>
      <c r="F890" t="s">
        <v>28</v>
      </c>
      <c r="G890">
        <v>2013</v>
      </c>
      <c r="H890" t="s">
        <v>863</v>
      </c>
      <c r="K890" t="s">
        <v>25</v>
      </c>
      <c r="L890" t="s">
        <v>30</v>
      </c>
      <c r="M890" t="b">
        <v>1</v>
      </c>
      <c r="N890" t="s">
        <v>28</v>
      </c>
      <c r="Q890" t="b">
        <v>0</v>
      </c>
      <c r="T890" t="str">
        <f>"9780310729822"</f>
        <v>9780310729822</v>
      </c>
      <c r="U890" t="b">
        <v>0</v>
      </c>
      <c r="W890" t="b">
        <v>0</v>
      </c>
    </row>
    <row r="891" spans="1:23" x14ac:dyDescent="0.3">
      <c r="A891">
        <v>2982666</v>
      </c>
      <c r="B891">
        <v>17.73</v>
      </c>
      <c r="C891" t="s">
        <v>2052</v>
      </c>
      <c r="E891" t="s">
        <v>23</v>
      </c>
      <c r="F891" t="s">
        <v>28</v>
      </c>
      <c r="G891">
        <v>2009</v>
      </c>
      <c r="H891" t="s">
        <v>718</v>
      </c>
      <c r="K891" t="s">
        <v>25</v>
      </c>
      <c r="L891" t="s">
        <v>30</v>
      </c>
      <c r="M891" t="b">
        <v>1</v>
      </c>
      <c r="N891" t="s">
        <v>408</v>
      </c>
      <c r="P891" t="s">
        <v>1587</v>
      </c>
      <c r="Q891" t="b">
        <v>1</v>
      </c>
      <c r="T891" t="str">
        <f>"9780310856108"</f>
        <v>9780310856108</v>
      </c>
      <c r="U891" t="b">
        <v>0</v>
      </c>
      <c r="W891" t="b">
        <v>0</v>
      </c>
    </row>
    <row r="892" spans="1:23" x14ac:dyDescent="0.3">
      <c r="A892">
        <v>2982665</v>
      </c>
      <c r="B892">
        <v>58.62</v>
      </c>
      <c r="C892" t="s">
        <v>2053</v>
      </c>
      <c r="E892" t="s">
        <v>23</v>
      </c>
      <c r="F892" t="s">
        <v>28</v>
      </c>
      <c r="G892">
        <v>2020</v>
      </c>
      <c r="H892" t="s">
        <v>717</v>
      </c>
      <c r="K892" t="s">
        <v>25</v>
      </c>
      <c r="L892" t="s">
        <v>26</v>
      </c>
      <c r="M892" t="b">
        <v>1</v>
      </c>
      <c r="N892" t="s">
        <v>1697</v>
      </c>
      <c r="P892" t="s">
        <v>1698</v>
      </c>
      <c r="Q892" t="b">
        <v>1</v>
      </c>
      <c r="S892" t="str">
        <f>"9780310767459"</f>
        <v>9780310767459</v>
      </c>
      <c r="T892" t="str">
        <f>"9780310767466"</f>
        <v>9780310767466</v>
      </c>
      <c r="U892" t="b">
        <v>0</v>
      </c>
      <c r="W892" t="b">
        <v>0</v>
      </c>
    </row>
    <row r="893" spans="1:23" x14ac:dyDescent="0.3">
      <c r="A893">
        <v>2982664</v>
      </c>
      <c r="B893">
        <v>48.27</v>
      </c>
      <c r="C893" t="s">
        <v>2054</v>
      </c>
      <c r="D893" t="s">
        <v>2055</v>
      </c>
      <c r="E893" t="s">
        <v>23</v>
      </c>
      <c r="F893" t="s">
        <v>28</v>
      </c>
      <c r="G893">
        <v>2018</v>
      </c>
      <c r="H893" t="s">
        <v>75</v>
      </c>
      <c r="K893" t="s">
        <v>25</v>
      </c>
      <c r="L893" t="s">
        <v>26</v>
      </c>
      <c r="M893" t="b">
        <v>1</v>
      </c>
      <c r="N893" t="s">
        <v>146</v>
      </c>
      <c r="P893" t="s">
        <v>146</v>
      </c>
      <c r="Q893" t="b">
        <v>0</v>
      </c>
      <c r="S893" t="str">
        <f>"9780310763284"</f>
        <v>9780310763284</v>
      </c>
      <c r="T893" t="str">
        <f>"9780310763444"</f>
        <v>9780310763444</v>
      </c>
      <c r="U893" t="b">
        <v>0</v>
      </c>
      <c r="W893" t="b">
        <v>0</v>
      </c>
    </row>
    <row r="894" spans="1:23" x14ac:dyDescent="0.3">
      <c r="A894">
        <v>2982663</v>
      </c>
      <c r="B894">
        <v>35.5</v>
      </c>
      <c r="C894" t="s">
        <v>2056</v>
      </c>
      <c r="E894" t="s">
        <v>23</v>
      </c>
      <c r="F894" t="s">
        <v>28</v>
      </c>
      <c r="G894">
        <v>2010</v>
      </c>
      <c r="H894" t="s">
        <v>144</v>
      </c>
      <c r="K894" t="s">
        <v>25</v>
      </c>
      <c r="L894" t="s">
        <v>30</v>
      </c>
      <c r="M894" t="b">
        <v>1</v>
      </c>
      <c r="N894" t="s">
        <v>501</v>
      </c>
      <c r="Q894" t="b">
        <v>0</v>
      </c>
      <c r="T894" t="str">
        <f>"9780310425175"</f>
        <v>9780310425175</v>
      </c>
      <c r="U894" t="b">
        <v>0</v>
      </c>
      <c r="W894" t="b">
        <v>0</v>
      </c>
    </row>
    <row r="895" spans="1:23" x14ac:dyDescent="0.3">
      <c r="A895">
        <v>2982662</v>
      </c>
      <c r="B895">
        <v>24.12</v>
      </c>
      <c r="C895" t="s">
        <v>2057</v>
      </c>
      <c r="D895" t="s">
        <v>2058</v>
      </c>
      <c r="E895" t="s">
        <v>23</v>
      </c>
      <c r="F895" t="s">
        <v>28</v>
      </c>
      <c r="G895">
        <v>2012</v>
      </c>
      <c r="H895" t="s">
        <v>710</v>
      </c>
      <c r="K895" t="s">
        <v>25</v>
      </c>
      <c r="L895" t="s">
        <v>30</v>
      </c>
      <c r="M895" t="b">
        <v>1</v>
      </c>
      <c r="N895" t="s">
        <v>1335</v>
      </c>
      <c r="P895" t="s">
        <v>1322</v>
      </c>
      <c r="Q895" t="b">
        <v>0</v>
      </c>
      <c r="S895" t="str">
        <f>"9780310725206"</f>
        <v>9780310725206</v>
      </c>
      <c r="T895" t="str">
        <f>"9780310732907"</f>
        <v>9780310732907</v>
      </c>
      <c r="U895" t="b">
        <v>0</v>
      </c>
      <c r="W895" t="b">
        <v>0</v>
      </c>
    </row>
    <row r="896" spans="1:23" x14ac:dyDescent="0.3">
      <c r="A896">
        <v>2982661</v>
      </c>
      <c r="B896">
        <v>42.61</v>
      </c>
      <c r="C896" t="s">
        <v>2059</v>
      </c>
      <c r="E896" t="s">
        <v>23</v>
      </c>
      <c r="F896" t="s">
        <v>28</v>
      </c>
      <c r="G896">
        <v>2011</v>
      </c>
      <c r="H896" t="s">
        <v>863</v>
      </c>
      <c r="K896" t="s">
        <v>25</v>
      </c>
      <c r="L896" t="s">
        <v>30</v>
      </c>
      <c r="M896" t="b">
        <v>1</v>
      </c>
      <c r="N896" t="s">
        <v>44</v>
      </c>
      <c r="Q896" t="b">
        <v>0</v>
      </c>
      <c r="T896" t="str">
        <f>"9780310729754"</f>
        <v>9780310729754</v>
      </c>
      <c r="U896" t="b">
        <v>0</v>
      </c>
      <c r="W896" t="b">
        <v>0</v>
      </c>
    </row>
    <row r="897" spans="1:23" x14ac:dyDescent="0.3">
      <c r="A897">
        <v>2982660</v>
      </c>
      <c r="B897">
        <v>31.02</v>
      </c>
      <c r="C897" t="s">
        <v>2060</v>
      </c>
      <c r="E897" t="s">
        <v>23</v>
      </c>
      <c r="F897" t="s">
        <v>28</v>
      </c>
      <c r="G897">
        <v>2018</v>
      </c>
      <c r="H897" t="s">
        <v>716</v>
      </c>
      <c r="K897" t="s">
        <v>25</v>
      </c>
      <c r="L897" t="s">
        <v>26</v>
      </c>
      <c r="M897" t="b">
        <v>1</v>
      </c>
      <c r="N897" t="s">
        <v>1510</v>
      </c>
      <c r="P897" t="s">
        <v>1511</v>
      </c>
      <c r="Q897" t="b">
        <v>1</v>
      </c>
      <c r="S897" t="str">
        <f>"9780310762508"</f>
        <v>9780310762508</v>
      </c>
      <c r="T897" t="str">
        <f>"9780310762553"</f>
        <v>9780310762553</v>
      </c>
      <c r="U897" t="b">
        <v>0</v>
      </c>
      <c r="W897" t="b">
        <v>0</v>
      </c>
    </row>
    <row r="898" spans="1:23" x14ac:dyDescent="0.3">
      <c r="A898">
        <v>2982659</v>
      </c>
      <c r="B898">
        <v>21.29</v>
      </c>
      <c r="C898" t="s">
        <v>2061</v>
      </c>
      <c r="D898" t="s">
        <v>2062</v>
      </c>
      <c r="E898" t="s">
        <v>23</v>
      </c>
      <c r="F898" t="s">
        <v>28</v>
      </c>
      <c r="G898">
        <v>2010</v>
      </c>
      <c r="H898" t="s">
        <v>708</v>
      </c>
      <c r="K898" t="s">
        <v>25</v>
      </c>
      <c r="L898" t="s">
        <v>30</v>
      </c>
      <c r="M898" t="b">
        <v>1</v>
      </c>
      <c r="N898" t="s">
        <v>83</v>
      </c>
      <c r="P898" t="s">
        <v>84</v>
      </c>
      <c r="Q898" t="b">
        <v>0</v>
      </c>
      <c r="S898" t="str">
        <f>"9780310719991"</f>
        <v>9780310719991</v>
      </c>
      <c r="T898" t="str">
        <f>"9780310867951"</f>
        <v>9780310867951</v>
      </c>
      <c r="U898" t="b">
        <v>0</v>
      </c>
      <c r="W898" t="b">
        <v>0</v>
      </c>
    </row>
    <row r="899" spans="1:23" x14ac:dyDescent="0.3">
      <c r="A899">
        <v>2982658</v>
      </c>
      <c r="B899">
        <v>27.57</v>
      </c>
      <c r="C899" t="s">
        <v>1936</v>
      </c>
      <c r="E899" t="s">
        <v>23</v>
      </c>
      <c r="F899" t="s">
        <v>28</v>
      </c>
      <c r="G899">
        <v>2011</v>
      </c>
      <c r="H899" t="s">
        <v>1337</v>
      </c>
      <c r="K899" t="s">
        <v>25</v>
      </c>
      <c r="L899" t="s">
        <v>30</v>
      </c>
      <c r="M899" t="b">
        <v>1</v>
      </c>
      <c r="N899" t="s">
        <v>1338</v>
      </c>
      <c r="P899" t="s">
        <v>1339</v>
      </c>
      <c r="Q899" t="b">
        <v>1</v>
      </c>
      <c r="S899" t="str">
        <f>"9780310720942"</f>
        <v>9780310720942</v>
      </c>
      <c r="T899" t="str">
        <f>"9780310399650"</f>
        <v>9780310399650</v>
      </c>
      <c r="U899" t="b">
        <v>0</v>
      </c>
      <c r="W899" t="b">
        <v>0</v>
      </c>
    </row>
    <row r="900" spans="1:23" x14ac:dyDescent="0.3">
      <c r="A900">
        <v>2982657</v>
      </c>
      <c r="B900">
        <v>35.5</v>
      </c>
      <c r="C900" t="s">
        <v>2063</v>
      </c>
      <c r="E900" t="s">
        <v>23</v>
      </c>
      <c r="F900" t="s">
        <v>28</v>
      </c>
      <c r="G900">
        <v>2010</v>
      </c>
      <c r="H900" t="s">
        <v>41</v>
      </c>
      <c r="K900" t="s">
        <v>25</v>
      </c>
      <c r="L900" t="s">
        <v>30</v>
      </c>
      <c r="M900" t="b">
        <v>1</v>
      </c>
      <c r="N900" t="s">
        <v>1332</v>
      </c>
      <c r="Q900" t="b">
        <v>1</v>
      </c>
      <c r="T900" t="str">
        <f>"9780310423850"</f>
        <v>9780310423850</v>
      </c>
      <c r="U900" t="b">
        <v>0</v>
      </c>
      <c r="W900" t="b">
        <v>0</v>
      </c>
    </row>
    <row r="901" spans="1:23" x14ac:dyDescent="0.3">
      <c r="A901">
        <v>2982656</v>
      </c>
      <c r="B901">
        <v>24.84</v>
      </c>
      <c r="C901" t="s">
        <v>2064</v>
      </c>
      <c r="E901" t="s">
        <v>23</v>
      </c>
      <c r="F901" t="s">
        <v>28</v>
      </c>
      <c r="G901">
        <v>2018</v>
      </c>
      <c r="H901" t="s">
        <v>1728</v>
      </c>
      <c r="K901" t="s">
        <v>25</v>
      </c>
      <c r="L901" t="s">
        <v>26</v>
      </c>
      <c r="M901" t="b">
        <v>1</v>
      </c>
      <c r="N901" t="s">
        <v>1729</v>
      </c>
      <c r="P901" t="s">
        <v>1730</v>
      </c>
      <c r="Q901" t="b">
        <v>1</v>
      </c>
      <c r="T901" t="str">
        <f>"9780310760672"</f>
        <v>9780310760672</v>
      </c>
      <c r="U901" t="b">
        <v>0</v>
      </c>
      <c r="W901" t="b">
        <v>0</v>
      </c>
    </row>
    <row r="902" spans="1:23" x14ac:dyDescent="0.3">
      <c r="A902">
        <v>2982655</v>
      </c>
      <c r="B902">
        <v>3.52</v>
      </c>
      <c r="C902" t="s">
        <v>2065</v>
      </c>
      <c r="D902" t="s">
        <v>225</v>
      </c>
      <c r="E902" t="s">
        <v>23</v>
      </c>
      <c r="F902" t="s">
        <v>28</v>
      </c>
      <c r="G902">
        <v>2020</v>
      </c>
      <c r="H902" t="s">
        <v>226</v>
      </c>
      <c r="I902" t="s">
        <v>2066</v>
      </c>
      <c r="J902" t="s">
        <v>1987</v>
      </c>
      <c r="K902" t="s">
        <v>25</v>
      </c>
      <c r="L902" t="s">
        <v>26</v>
      </c>
      <c r="M902" t="b">
        <v>1</v>
      </c>
      <c r="N902" t="s">
        <v>227</v>
      </c>
      <c r="O902" t="str">
        <f>"813/.6"</f>
        <v>813/.6</v>
      </c>
      <c r="Q902" t="b">
        <v>1</v>
      </c>
      <c r="T902" t="str">
        <f>"9780310735502"</f>
        <v>9780310735502</v>
      </c>
      <c r="U902" t="b">
        <v>0</v>
      </c>
      <c r="W902" t="b">
        <v>0</v>
      </c>
    </row>
    <row r="903" spans="1:23" x14ac:dyDescent="0.3">
      <c r="A903">
        <v>2982654</v>
      </c>
      <c r="B903">
        <v>24.12</v>
      </c>
      <c r="C903" t="s">
        <v>2067</v>
      </c>
      <c r="E903" t="s">
        <v>23</v>
      </c>
      <c r="F903" t="s">
        <v>28</v>
      </c>
      <c r="G903">
        <v>2012</v>
      </c>
      <c r="H903" t="s">
        <v>710</v>
      </c>
      <c r="K903" t="s">
        <v>25</v>
      </c>
      <c r="L903" t="s">
        <v>30</v>
      </c>
      <c r="M903" t="b">
        <v>1</v>
      </c>
      <c r="N903" t="s">
        <v>2068</v>
      </c>
      <c r="P903" t="s">
        <v>1322</v>
      </c>
      <c r="Q903" t="b">
        <v>0</v>
      </c>
      <c r="S903" t="str">
        <f>"9780310726319"</f>
        <v>9780310726319</v>
      </c>
      <c r="T903" t="str">
        <f>"9780310726326"</f>
        <v>9780310726326</v>
      </c>
      <c r="U903" t="b">
        <v>0</v>
      </c>
      <c r="W903" t="b">
        <v>0</v>
      </c>
    </row>
    <row r="904" spans="1:23" x14ac:dyDescent="0.3">
      <c r="A904">
        <v>2982653</v>
      </c>
      <c r="B904">
        <v>17.22</v>
      </c>
      <c r="C904" t="s">
        <v>2069</v>
      </c>
      <c r="D904" t="s">
        <v>93</v>
      </c>
      <c r="E904" t="s">
        <v>23</v>
      </c>
      <c r="F904" t="s">
        <v>28</v>
      </c>
      <c r="G904">
        <v>2010</v>
      </c>
      <c r="H904" t="s">
        <v>41</v>
      </c>
      <c r="K904" t="s">
        <v>25</v>
      </c>
      <c r="L904" t="s">
        <v>30</v>
      </c>
      <c r="M904" t="b">
        <v>1</v>
      </c>
      <c r="N904" t="s">
        <v>480</v>
      </c>
      <c r="P904" t="s">
        <v>376</v>
      </c>
      <c r="Q904" t="b">
        <v>1</v>
      </c>
      <c r="S904" t="str">
        <f>"9780310717089"</f>
        <v>9780310717089</v>
      </c>
      <c r="T904" t="str">
        <f>"9780310424673"</f>
        <v>9780310424673</v>
      </c>
      <c r="U904" t="b">
        <v>0</v>
      </c>
      <c r="W904" t="b">
        <v>0</v>
      </c>
    </row>
    <row r="905" spans="1:23" x14ac:dyDescent="0.3">
      <c r="A905">
        <v>2982652</v>
      </c>
      <c r="B905">
        <v>68.97</v>
      </c>
      <c r="C905" t="s">
        <v>2070</v>
      </c>
      <c r="E905" t="s">
        <v>23</v>
      </c>
      <c r="F905" t="s">
        <v>28</v>
      </c>
      <c r="G905">
        <v>2010</v>
      </c>
      <c r="H905" t="s">
        <v>222</v>
      </c>
      <c r="K905" t="s">
        <v>25</v>
      </c>
      <c r="L905" t="s">
        <v>30</v>
      </c>
      <c r="M905" t="b">
        <v>1</v>
      </c>
      <c r="N905" t="s">
        <v>389</v>
      </c>
      <c r="Q905" t="b">
        <v>0</v>
      </c>
      <c r="S905" t="str">
        <f>"9780310719120"</f>
        <v>9780310719120</v>
      </c>
      <c r="T905" t="str">
        <f>"9780310578338"</f>
        <v>9780310578338</v>
      </c>
      <c r="U905" t="b">
        <v>0</v>
      </c>
      <c r="W905" t="b">
        <v>0</v>
      </c>
    </row>
    <row r="906" spans="1:23" x14ac:dyDescent="0.3">
      <c r="A906">
        <v>2982651</v>
      </c>
      <c r="B906">
        <v>42.61</v>
      </c>
      <c r="C906" t="s">
        <v>2071</v>
      </c>
      <c r="E906" t="s">
        <v>23</v>
      </c>
      <c r="F906" t="s">
        <v>28</v>
      </c>
      <c r="G906">
        <v>2009</v>
      </c>
      <c r="H906" t="s">
        <v>41</v>
      </c>
      <c r="K906" t="s">
        <v>25</v>
      </c>
      <c r="L906" t="s">
        <v>30</v>
      </c>
      <c r="M906" t="b">
        <v>1</v>
      </c>
      <c r="N906" t="s">
        <v>31</v>
      </c>
      <c r="Q906" t="b">
        <v>1</v>
      </c>
      <c r="T906" t="str">
        <f>"9780310868835"</f>
        <v>9780310868835</v>
      </c>
      <c r="U906" t="b">
        <v>0</v>
      </c>
      <c r="W906" t="b">
        <v>0</v>
      </c>
    </row>
    <row r="907" spans="1:23" x14ac:dyDescent="0.3">
      <c r="A907">
        <v>2982650</v>
      </c>
      <c r="B907">
        <v>27.57</v>
      </c>
      <c r="C907" t="s">
        <v>80</v>
      </c>
      <c r="E907" t="s">
        <v>23</v>
      </c>
      <c r="F907" t="s">
        <v>28</v>
      </c>
      <c r="G907">
        <v>2016</v>
      </c>
      <c r="H907" t="s">
        <v>82</v>
      </c>
      <c r="K907" t="s">
        <v>25</v>
      </c>
      <c r="L907" t="s">
        <v>26</v>
      </c>
      <c r="M907" t="b">
        <v>1</v>
      </c>
      <c r="N907" t="s">
        <v>83</v>
      </c>
      <c r="P907" t="s">
        <v>84</v>
      </c>
      <c r="Q907" t="b">
        <v>0</v>
      </c>
      <c r="S907" t="str">
        <f>"9780310733232"</f>
        <v>9780310733232</v>
      </c>
      <c r="T907" t="str">
        <f>"9780310755203"</f>
        <v>9780310755203</v>
      </c>
      <c r="U907" t="b">
        <v>0</v>
      </c>
      <c r="W907" t="b">
        <v>0</v>
      </c>
    </row>
    <row r="908" spans="1:23" x14ac:dyDescent="0.3">
      <c r="A908">
        <v>2982649</v>
      </c>
      <c r="B908">
        <v>17.73</v>
      </c>
      <c r="C908" t="s">
        <v>2072</v>
      </c>
      <c r="E908" t="s">
        <v>23</v>
      </c>
      <c r="F908" t="s">
        <v>28</v>
      </c>
      <c r="G908">
        <v>2011</v>
      </c>
      <c r="H908" t="s">
        <v>41</v>
      </c>
      <c r="K908" t="s">
        <v>25</v>
      </c>
      <c r="L908" t="s">
        <v>30</v>
      </c>
      <c r="M908" t="b">
        <v>1</v>
      </c>
      <c r="N908" t="s">
        <v>480</v>
      </c>
      <c r="Q908" t="b">
        <v>1</v>
      </c>
      <c r="T908" t="str">
        <f>"9780310424390"</f>
        <v>9780310424390</v>
      </c>
      <c r="U908" t="b">
        <v>0</v>
      </c>
      <c r="W908" t="b">
        <v>0</v>
      </c>
    </row>
    <row r="909" spans="1:23" x14ac:dyDescent="0.3">
      <c r="A909">
        <v>2982648</v>
      </c>
      <c r="B909">
        <v>17.22</v>
      </c>
      <c r="C909" t="s">
        <v>2073</v>
      </c>
      <c r="D909" t="s">
        <v>93</v>
      </c>
      <c r="E909" t="s">
        <v>23</v>
      </c>
      <c r="F909" t="s">
        <v>28</v>
      </c>
      <c r="G909">
        <v>2011</v>
      </c>
      <c r="H909" t="s">
        <v>144</v>
      </c>
      <c r="K909" t="s">
        <v>25</v>
      </c>
      <c r="L909" t="s">
        <v>30</v>
      </c>
      <c r="M909" t="b">
        <v>1</v>
      </c>
      <c r="N909" t="s">
        <v>480</v>
      </c>
      <c r="P909" t="s">
        <v>1395</v>
      </c>
      <c r="Q909" t="b">
        <v>0</v>
      </c>
      <c r="S909" t="str">
        <f>"9780310721581"</f>
        <v>9780310721581</v>
      </c>
      <c r="T909" t="str">
        <f>"9780310409151"</f>
        <v>9780310409151</v>
      </c>
      <c r="U909" t="b">
        <v>0</v>
      </c>
      <c r="W909" t="b">
        <v>0</v>
      </c>
    </row>
    <row r="910" spans="1:23" x14ac:dyDescent="0.3">
      <c r="A910">
        <v>2982647</v>
      </c>
      <c r="B910">
        <v>17.73</v>
      </c>
      <c r="C910" t="s">
        <v>2074</v>
      </c>
      <c r="E910" t="s">
        <v>23</v>
      </c>
      <c r="F910" t="s">
        <v>28</v>
      </c>
      <c r="G910">
        <v>2011</v>
      </c>
      <c r="H910" t="s">
        <v>1337</v>
      </c>
      <c r="K910" t="s">
        <v>25</v>
      </c>
      <c r="L910" t="s">
        <v>30</v>
      </c>
      <c r="M910" t="b">
        <v>1</v>
      </c>
      <c r="N910" t="s">
        <v>675</v>
      </c>
      <c r="P910" t="s">
        <v>721</v>
      </c>
      <c r="Q910" t="b">
        <v>1</v>
      </c>
      <c r="T910" t="str">
        <f>"9780310424192"</f>
        <v>9780310424192</v>
      </c>
      <c r="U910" t="b">
        <v>0</v>
      </c>
      <c r="W910" t="b">
        <v>0</v>
      </c>
    </row>
    <row r="911" spans="1:23" x14ac:dyDescent="0.3">
      <c r="A911">
        <v>2982646</v>
      </c>
      <c r="B911">
        <v>17.73</v>
      </c>
      <c r="C911" t="s">
        <v>2075</v>
      </c>
      <c r="D911" t="s">
        <v>2076</v>
      </c>
      <c r="E911" t="s">
        <v>23</v>
      </c>
      <c r="F911" t="s">
        <v>28</v>
      </c>
      <c r="G911">
        <v>2016</v>
      </c>
      <c r="H911" t="s">
        <v>168</v>
      </c>
      <c r="K911" t="s">
        <v>25</v>
      </c>
      <c r="L911" t="s">
        <v>30</v>
      </c>
      <c r="M911" t="b">
        <v>1</v>
      </c>
      <c r="N911" t="s">
        <v>1417</v>
      </c>
      <c r="P911" t="s">
        <v>84</v>
      </c>
      <c r="Q911" t="b">
        <v>0</v>
      </c>
      <c r="T911" t="str">
        <f>"9780310754886"</f>
        <v>9780310754886</v>
      </c>
      <c r="U911" t="b">
        <v>0</v>
      </c>
      <c r="W911" t="b">
        <v>0</v>
      </c>
    </row>
    <row r="912" spans="1:23" x14ac:dyDescent="0.3">
      <c r="A912">
        <v>2982645</v>
      </c>
      <c r="B912">
        <v>65.52</v>
      </c>
      <c r="C912" t="s">
        <v>2077</v>
      </c>
      <c r="D912" t="s">
        <v>2078</v>
      </c>
      <c r="E912" t="s">
        <v>23</v>
      </c>
      <c r="F912" t="s">
        <v>28</v>
      </c>
      <c r="G912">
        <v>2021</v>
      </c>
      <c r="H912" t="s">
        <v>2079</v>
      </c>
      <c r="K912" t="s">
        <v>25</v>
      </c>
      <c r="L912" t="s">
        <v>26</v>
      </c>
      <c r="M912" t="b">
        <v>1</v>
      </c>
      <c r="N912" t="s">
        <v>2080</v>
      </c>
      <c r="Q912" t="b">
        <v>0</v>
      </c>
      <c r="S912" t="str">
        <f>"9780310770800"</f>
        <v>9780310770800</v>
      </c>
      <c r="T912" t="str">
        <f>"9780310770817"</f>
        <v>9780310770817</v>
      </c>
      <c r="U912" t="b">
        <v>0</v>
      </c>
      <c r="W912" t="b">
        <v>0</v>
      </c>
    </row>
    <row r="913" spans="1:23" x14ac:dyDescent="0.3">
      <c r="A913">
        <v>2982644</v>
      </c>
      <c r="B913">
        <v>35.5</v>
      </c>
      <c r="C913" t="s">
        <v>2081</v>
      </c>
      <c r="D913" t="s">
        <v>1982</v>
      </c>
      <c r="E913" t="s">
        <v>23</v>
      </c>
      <c r="F913" t="s">
        <v>28</v>
      </c>
      <c r="G913">
        <v>2010</v>
      </c>
      <c r="H913" t="s">
        <v>168</v>
      </c>
      <c r="K913" t="s">
        <v>25</v>
      </c>
      <c r="L913" t="s">
        <v>30</v>
      </c>
      <c r="M913" t="b">
        <v>1</v>
      </c>
      <c r="N913" t="s">
        <v>2082</v>
      </c>
      <c r="P913" t="s">
        <v>84</v>
      </c>
      <c r="Q913" t="b">
        <v>0</v>
      </c>
      <c r="T913" t="str">
        <f>"9780310429548"</f>
        <v>9780310429548</v>
      </c>
      <c r="U913" t="b">
        <v>0</v>
      </c>
      <c r="W913" t="b">
        <v>0</v>
      </c>
    </row>
    <row r="914" spans="1:23" x14ac:dyDescent="0.3">
      <c r="A914">
        <v>2982643</v>
      </c>
      <c r="B914">
        <v>17.73</v>
      </c>
      <c r="C914" t="s">
        <v>2083</v>
      </c>
      <c r="E914" t="s">
        <v>23</v>
      </c>
      <c r="F914" t="s">
        <v>28</v>
      </c>
      <c r="G914">
        <v>2009</v>
      </c>
      <c r="H914" t="s">
        <v>718</v>
      </c>
      <c r="K914" t="s">
        <v>25</v>
      </c>
      <c r="L914" t="s">
        <v>30</v>
      </c>
      <c r="M914" t="b">
        <v>1</v>
      </c>
      <c r="N914" t="s">
        <v>83</v>
      </c>
      <c r="P914" t="s">
        <v>1624</v>
      </c>
      <c r="Q914" t="b">
        <v>1</v>
      </c>
      <c r="S914" t="str">
        <f>"9780310710257"</f>
        <v>9780310710257</v>
      </c>
      <c r="T914" t="str">
        <f>"9780310568414"</f>
        <v>9780310568414</v>
      </c>
      <c r="U914" t="b">
        <v>0</v>
      </c>
      <c r="W914" t="b">
        <v>0</v>
      </c>
    </row>
    <row r="915" spans="1:23" x14ac:dyDescent="0.3">
      <c r="A915">
        <v>2982642</v>
      </c>
      <c r="B915">
        <v>34.47</v>
      </c>
      <c r="C915" t="s">
        <v>2084</v>
      </c>
      <c r="E915" t="s">
        <v>23</v>
      </c>
      <c r="F915" t="s">
        <v>28</v>
      </c>
      <c r="G915">
        <v>2017</v>
      </c>
      <c r="H915" t="s">
        <v>168</v>
      </c>
      <c r="K915" t="s">
        <v>25</v>
      </c>
      <c r="L915" t="s">
        <v>26</v>
      </c>
      <c r="M915" t="b">
        <v>1</v>
      </c>
      <c r="N915" t="s">
        <v>146</v>
      </c>
      <c r="P915" t="s">
        <v>146</v>
      </c>
      <c r="Q915" t="b">
        <v>0</v>
      </c>
      <c r="S915" t="str">
        <f>"9780310755371"</f>
        <v>9780310755371</v>
      </c>
      <c r="T915" t="str">
        <f>"9780310755296"</f>
        <v>9780310755296</v>
      </c>
      <c r="U915" t="b">
        <v>0</v>
      </c>
      <c r="W915" t="b">
        <v>0</v>
      </c>
    </row>
    <row r="916" spans="1:23" x14ac:dyDescent="0.3">
      <c r="A916">
        <v>2982641</v>
      </c>
      <c r="B916">
        <v>46.16</v>
      </c>
      <c r="C916" t="s">
        <v>2085</v>
      </c>
      <c r="E916" t="s">
        <v>23</v>
      </c>
      <c r="F916" t="s">
        <v>28</v>
      </c>
      <c r="G916">
        <v>2011</v>
      </c>
      <c r="H916" t="s">
        <v>1376</v>
      </c>
      <c r="K916" t="s">
        <v>25</v>
      </c>
      <c r="L916" t="s">
        <v>30</v>
      </c>
      <c r="M916" t="b">
        <v>1</v>
      </c>
      <c r="N916" t="s">
        <v>44</v>
      </c>
      <c r="Q916" t="b">
        <v>0</v>
      </c>
      <c r="T916" t="str">
        <f>"9780310729181"</f>
        <v>9780310729181</v>
      </c>
      <c r="U916" t="b">
        <v>0</v>
      </c>
      <c r="W916" t="b">
        <v>0</v>
      </c>
    </row>
    <row r="917" spans="1:23" x14ac:dyDescent="0.3">
      <c r="A917">
        <v>2982640</v>
      </c>
      <c r="B917">
        <v>17.22</v>
      </c>
      <c r="C917" t="s">
        <v>2086</v>
      </c>
      <c r="D917" t="s">
        <v>138</v>
      </c>
      <c r="E917" t="s">
        <v>23</v>
      </c>
      <c r="F917" t="s">
        <v>28</v>
      </c>
      <c r="G917">
        <v>2009</v>
      </c>
      <c r="H917" t="s">
        <v>34</v>
      </c>
      <c r="K917" t="s">
        <v>25</v>
      </c>
      <c r="L917" t="s">
        <v>30</v>
      </c>
      <c r="M917" t="b">
        <v>1</v>
      </c>
      <c r="N917" t="s">
        <v>480</v>
      </c>
      <c r="P917" t="s">
        <v>1755</v>
      </c>
      <c r="Q917" t="b">
        <v>1</v>
      </c>
      <c r="S917" t="str">
        <f>"9780310716785"</f>
        <v>9780310716785</v>
      </c>
      <c r="T917" t="str">
        <f>"9780310868798"</f>
        <v>9780310868798</v>
      </c>
      <c r="U917" t="b">
        <v>0</v>
      </c>
      <c r="W917" t="b">
        <v>0</v>
      </c>
    </row>
    <row r="918" spans="1:23" x14ac:dyDescent="0.3">
      <c r="A918">
        <v>2982639</v>
      </c>
      <c r="B918">
        <v>10.63</v>
      </c>
      <c r="C918" t="s">
        <v>274</v>
      </c>
      <c r="D918" t="s">
        <v>93</v>
      </c>
      <c r="E918" t="s">
        <v>23</v>
      </c>
      <c r="F918" t="s">
        <v>28</v>
      </c>
      <c r="G918">
        <v>2011</v>
      </c>
      <c r="H918" t="s">
        <v>34</v>
      </c>
      <c r="K918" t="s">
        <v>25</v>
      </c>
      <c r="L918" t="s">
        <v>30</v>
      </c>
      <c r="M918" t="b">
        <v>1</v>
      </c>
      <c r="N918" t="s">
        <v>275</v>
      </c>
      <c r="P918" t="s">
        <v>276</v>
      </c>
      <c r="Q918" t="b">
        <v>1</v>
      </c>
      <c r="T918" t="str">
        <f>"9780310727064"</f>
        <v>9780310727064</v>
      </c>
      <c r="U918" t="b">
        <v>0</v>
      </c>
      <c r="W918" t="b">
        <v>0</v>
      </c>
    </row>
    <row r="919" spans="1:23" x14ac:dyDescent="0.3">
      <c r="A919">
        <v>2982638</v>
      </c>
      <c r="B919">
        <v>35.5</v>
      </c>
      <c r="C919" t="s">
        <v>2087</v>
      </c>
      <c r="E919" t="s">
        <v>23</v>
      </c>
      <c r="F919" t="s">
        <v>28</v>
      </c>
      <c r="G919">
        <v>2010</v>
      </c>
      <c r="H919" t="s">
        <v>41</v>
      </c>
      <c r="K919" t="s">
        <v>25</v>
      </c>
      <c r="L919" t="s">
        <v>30</v>
      </c>
      <c r="M919" t="b">
        <v>1</v>
      </c>
      <c r="N919" t="s">
        <v>550</v>
      </c>
      <c r="Q919" t="b">
        <v>1</v>
      </c>
      <c r="T919" t="str">
        <f>"9780310870326"</f>
        <v>9780310870326</v>
      </c>
      <c r="U919" t="b">
        <v>0</v>
      </c>
      <c r="W919" t="b">
        <v>0</v>
      </c>
    </row>
    <row r="920" spans="1:23" x14ac:dyDescent="0.3">
      <c r="A920">
        <v>2982637</v>
      </c>
      <c r="B920">
        <v>51.72</v>
      </c>
      <c r="C920" t="s">
        <v>2088</v>
      </c>
      <c r="D920" t="s">
        <v>2089</v>
      </c>
      <c r="E920" t="s">
        <v>23</v>
      </c>
      <c r="F920" t="s">
        <v>28</v>
      </c>
      <c r="G920">
        <v>2021</v>
      </c>
      <c r="H920" t="s">
        <v>708</v>
      </c>
      <c r="K920" t="s">
        <v>25</v>
      </c>
      <c r="L920" t="s">
        <v>26</v>
      </c>
      <c r="M920" t="b">
        <v>1</v>
      </c>
      <c r="N920" t="s">
        <v>2090</v>
      </c>
      <c r="Q920" t="b">
        <v>0</v>
      </c>
      <c r="S920" t="str">
        <f>"9780310770152"</f>
        <v>9780310770152</v>
      </c>
      <c r="T920" t="str">
        <f>"9780310770169"</f>
        <v>9780310770169</v>
      </c>
      <c r="U920" t="b">
        <v>0</v>
      </c>
      <c r="W920" t="b">
        <v>0</v>
      </c>
    </row>
    <row r="921" spans="1:23" x14ac:dyDescent="0.3">
      <c r="A921">
        <v>2982636</v>
      </c>
      <c r="B921">
        <v>17.22</v>
      </c>
      <c r="C921" t="s">
        <v>2091</v>
      </c>
      <c r="D921" t="s">
        <v>138</v>
      </c>
      <c r="E921" t="s">
        <v>23</v>
      </c>
      <c r="F921" t="s">
        <v>28</v>
      </c>
      <c r="G921">
        <v>2011</v>
      </c>
      <c r="H921" t="s">
        <v>34</v>
      </c>
      <c r="K921" t="s">
        <v>25</v>
      </c>
      <c r="L921" t="s">
        <v>30</v>
      </c>
      <c r="M921" t="b">
        <v>1</v>
      </c>
      <c r="N921" t="s">
        <v>1810</v>
      </c>
      <c r="P921" t="s">
        <v>1811</v>
      </c>
      <c r="Q921" t="b">
        <v>1</v>
      </c>
      <c r="S921" t="str">
        <f>"9780310718109"</f>
        <v>9780310718109</v>
      </c>
      <c r="T921" t="str">
        <f>"9780310424727"</f>
        <v>9780310424727</v>
      </c>
      <c r="U921" t="b">
        <v>0</v>
      </c>
      <c r="W921" t="b">
        <v>0</v>
      </c>
    </row>
    <row r="922" spans="1:23" x14ac:dyDescent="0.3">
      <c r="A922">
        <v>2982635</v>
      </c>
      <c r="B922">
        <v>3.52</v>
      </c>
      <c r="C922" t="s">
        <v>2092</v>
      </c>
      <c r="E922" t="s">
        <v>23</v>
      </c>
      <c r="F922" t="s">
        <v>28</v>
      </c>
      <c r="G922">
        <v>2020</v>
      </c>
      <c r="H922" t="s">
        <v>406</v>
      </c>
      <c r="I922" t="s">
        <v>2093</v>
      </c>
      <c r="J922" t="s">
        <v>1987</v>
      </c>
      <c r="K922" t="s">
        <v>25</v>
      </c>
      <c r="L922" t="s">
        <v>26</v>
      </c>
      <c r="M922" t="b">
        <v>1</v>
      </c>
      <c r="N922" t="s">
        <v>425</v>
      </c>
      <c r="O922" t="str">
        <f>"813/.54"</f>
        <v>813/.54</v>
      </c>
      <c r="Q922" t="b">
        <v>1</v>
      </c>
      <c r="T922" t="str">
        <f>"9780310735342"</f>
        <v>9780310735342</v>
      </c>
      <c r="U922" t="b">
        <v>0</v>
      </c>
      <c r="W922" t="b">
        <v>0</v>
      </c>
    </row>
    <row r="923" spans="1:23" x14ac:dyDescent="0.3">
      <c r="A923">
        <v>2982634</v>
      </c>
      <c r="B923">
        <v>17.22</v>
      </c>
      <c r="C923" t="s">
        <v>2094</v>
      </c>
      <c r="D923" t="s">
        <v>138</v>
      </c>
      <c r="E923" t="s">
        <v>23</v>
      </c>
      <c r="F923" t="s">
        <v>28</v>
      </c>
      <c r="G923">
        <v>2011</v>
      </c>
      <c r="H923" t="s">
        <v>144</v>
      </c>
      <c r="K923" t="s">
        <v>25</v>
      </c>
      <c r="L923" t="s">
        <v>30</v>
      </c>
      <c r="M923" t="b">
        <v>1</v>
      </c>
      <c r="N923" t="s">
        <v>44</v>
      </c>
      <c r="P923" t="s">
        <v>1637</v>
      </c>
      <c r="Q923" t="b">
        <v>0</v>
      </c>
      <c r="S923" t="str">
        <f>"9780310721826"</f>
        <v>9780310721826</v>
      </c>
      <c r="T923" t="str">
        <f>"9780310410072"</f>
        <v>9780310410072</v>
      </c>
      <c r="U923" t="b">
        <v>0</v>
      </c>
      <c r="W923" t="b">
        <v>0</v>
      </c>
    </row>
    <row r="924" spans="1:23" x14ac:dyDescent="0.3">
      <c r="A924">
        <v>2982633</v>
      </c>
      <c r="B924">
        <v>14.18</v>
      </c>
      <c r="C924" t="s">
        <v>2095</v>
      </c>
      <c r="E924" t="s">
        <v>23</v>
      </c>
      <c r="F924" t="s">
        <v>28</v>
      </c>
      <c r="G924">
        <v>2011</v>
      </c>
      <c r="H924" t="s">
        <v>34</v>
      </c>
      <c r="K924" t="s">
        <v>25</v>
      </c>
      <c r="L924" t="s">
        <v>30</v>
      </c>
      <c r="M924" t="b">
        <v>1</v>
      </c>
      <c r="N924" t="s">
        <v>1944</v>
      </c>
      <c r="P924" t="s">
        <v>1499</v>
      </c>
      <c r="Q924" t="b">
        <v>1</v>
      </c>
      <c r="T924" t="str">
        <f>"9780310424321"</f>
        <v>9780310424321</v>
      </c>
      <c r="U924" t="b">
        <v>0</v>
      </c>
      <c r="W924" t="b">
        <v>0</v>
      </c>
    </row>
    <row r="925" spans="1:23" x14ac:dyDescent="0.3">
      <c r="A925">
        <v>2982632</v>
      </c>
      <c r="B925">
        <v>44.82</v>
      </c>
      <c r="C925" t="s">
        <v>2096</v>
      </c>
      <c r="E925" t="s">
        <v>23</v>
      </c>
      <c r="F925" t="s">
        <v>28</v>
      </c>
      <c r="G925">
        <v>2013</v>
      </c>
      <c r="H925" t="s">
        <v>2097</v>
      </c>
      <c r="K925" t="s">
        <v>25</v>
      </c>
      <c r="L925" t="s">
        <v>30</v>
      </c>
      <c r="M925" t="b">
        <v>1</v>
      </c>
      <c r="N925" t="s">
        <v>740</v>
      </c>
      <c r="P925" t="s">
        <v>1560</v>
      </c>
      <c r="Q925" t="b">
        <v>1</v>
      </c>
      <c r="S925" t="str">
        <f>"9780310724391"</f>
        <v>9780310724391</v>
      </c>
      <c r="T925" t="str">
        <f>"9780310724407"</f>
        <v>9780310724407</v>
      </c>
      <c r="U925" t="b">
        <v>0</v>
      </c>
      <c r="W925" t="b">
        <v>0</v>
      </c>
    </row>
    <row r="926" spans="1:23" x14ac:dyDescent="0.3">
      <c r="A926">
        <v>2982631</v>
      </c>
      <c r="B926">
        <v>41.37</v>
      </c>
      <c r="C926" t="s">
        <v>2098</v>
      </c>
      <c r="D926" t="s">
        <v>595</v>
      </c>
      <c r="E926" t="s">
        <v>23</v>
      </c>
      <c r="F926" t="s">
        <v>28</v>
      </c>
      <c r="G926">
        <v>2015</v>
      </c>
      <c r="H926" t="s">
        <v>2099</v>
      </c>
      <c r="K926" t="s">
        <v>25</v>
      </c>
      <c r="L926" t="s">
        <v>30</v>
      </c>
      <c r="M926" t="b">
        <v>1</v>
      </c>
      <c r="N926" t="s">
        <v>44</v>
      </c>
      <c r="Q926" t="b">
        <v>0</v>
      </c>
      <c r="S926" t="str">
        <f>"9780310746010"</f>
        <v>9780310746010</v>
      </c>
      <c r="T926" t="str">
        <f>"9780310745860"</f>
        <v>9780310745860</v>
      </c>
      <c r="U926" t="b">
        <v>0</v>
      </c>
      <c r="W926" t="b">
        <v>0</v>
      </c>
    </row>
    <row r="927" spans="1:23" x14ac:dyDescent="0.3">
      <c r="A927">
        <v>2982630</v>
      </c>
      <c r="B927">
        <v>17.73</v>
      </c>
      <c r="C927" t="s">
        <v>2100</v>
      </c>
      <c r="E927" t="s">
        <v>23</v>
      </c>
      <c r="F927" t="s">
        <v>28</v>
      </c>
      <c r="G927">
        <v>2012</v>
      </c>
      <c r="H927" t="s">
        <v>422</v>
      </c>
      <c r="K927" t="s">
        <v>25</v>
      </c>
      <c r="L927" t="s">
        <v>30</v>
      </c>
      <c r="M927" t="b">
        <v>1</v>
      </c>
      <c r="N927" t="s">
        <v>44</v>
      </c>
      <c r="Q927" t="b">
        <v>0</v>
      </c>
      <c r="T927" t="str">
        <f>"9780310725169"</f>
        <v>9780310725169</v>
      </c>
      <c r="U927" t="b">
        <v>0</v>
      </c>
      <c r="W927" t="b">
        <v>0</v>
      </c>
    </row>
    <row r="928" spans="1:23" x14ac:dyDescent="0.3">
      <c r="A928">
        <v>2982629</v>
      </c>
      <c r="B928">
        <v>17.73</v>
      </c>
      <c r="C928" t="s">
        <v>2101</v>
      </c>
      <c r="E928" t="s">
        <v>23</v>
      </c>
      <c r="F928" t="s">
        <v>28</v>
      </c>
      <c r="G928">
        <v>2009</v>
      </c>
      <c r="H928" t="s">
        <v>718</v>
      </c>
      <c r="K928" t="s">
        <v>25</v>
      </c>
      <c r="L928" t="s">
        <v>30</v>
      </c>
      <c r="M928" t="b">
        <v>1</v>
      </c>
      <c r="N928" t="s">
        <v>272</v>
      </c>
      <c r="P928" t="s">
        <v>1311</v>
      </c>
      <c r="Q928" t="b">
        <v>1</v>
      </c>
      <c r="T928" t="str">
        <f>"9780310831761"</f>
        <v>9780310831761</v>
      </c>
      <c r="U928" t="b">
        <v>0</v>
      </c>
      <c r="W928" t="b">
        <v>0</v>
      </c>
    </row>
    <row r="929" spans="1:23" x14ac:dyDescent="0.3">
      <c r="A929">
        <v>2982628</v>
      </c>
      <c r="B929">
        <v>34.47</v>
      </c>
      <c r="C929" t="s">
        <v>1857</v>
      </c>
      <c r="E929" t="s">
        <v>23</v>
      </c>
      <c r="F929" t="s">
        <v>28</v>
      </c>
      <c r="G929">
        <v>2011</v>
      </c>
      <c r="H929" t="s">
        <v>716</v>
      </c>
      <c r="K929" t="s">
        <v>25</v>
      </c>
      <c r="L929" t="s">
        <v>30</v>
      </c>
      <c r="M929" t="b">
        <v>1</v>
      </c>
      <c r="N929" t="s">
        <v>1615</v>
      </c>
      <c r="P929" t="s">
        <v>1857</v>
      </c>
      <c r="Q929" t="b">
        <v>1</v>
      </c>
      <c r="S929" t="str">
        <f>"9780310720775"</f>
        <v>9780310720775</v>
      </c>
      <c r="T929" t="str">
        <f>"9780310429326"</f>
        <v>9780310429326</v>
      </c>
      <c r="U929" t="b">
        <v>0</v>
      </c>
      <c r="W929" t="b">
        <v>0</v>
      </c>
    </row>
    <row r="930" spans="1:23" x14ac:dyDescent="0.3">
      <c r="A930">
        <v>2982627</v>
      </c>
      <c r="B930">
        <v>58.62</v>
      </c>
      <c r="C930" t="s">
        <v>2102</v>
      </c>
      <c r="E930" t="s">
        <v>23</v>
      </c>
      <c r="F930" t="s">
        <v>28</v>
      </c>
      <c r="G930">
        <v>2019</v>
      </c>
      <c r="H930" t="s">
        <v>1986</v>
      </c>
      <c r="K930" t="s">
        <v>25</v>
      </c>
      <c r="L930" t="s">
        <v>26</v>
      </c>
      <c r="M930" t="b">
        <v>1</v>
      </c>
      <c r="N930" t="s">
        <v>1697</v>
      </c>
      <c r="P930" t="s">
        <v>1698</v>
      </c>
      <c r="Q930" t="b">
        <v>1</v>
      </c>
      <c r="S930" t="str">
        <f>"9780310767411"</f>
        <v>9780310767411</v>
      </c>
      <c r="T930" t="str">
        <f>"9780310767404"</f>
        <v>9780310767404</v>
      </c>
      <c r="U930" t="b">
        <v>0</v>
      </c>
      <c r="W930" t="b">
        <v>0</v>
      </c>
    </row>
    <row r="931" spans="1:23" x14ac:dyDescent="0.3">
      <c r="A931">
        <v>2982626</v>
      </c>
      <c r="B931">
        <v>10.63</v>
      </c>
      <c r="C931" t="s">
        <v>288</v>
      </c>
      <c r="D931" t="s">
        <v>93</v>
      </c>
      <c r="E931" t="s">
        <v>23</v>
      </c>
      <c r="F931" t="s">
        <v>28</v>
      </c>
      <c r="G931">
        <v>2012</v>
      </c>
      <c r="H931" t="s">
        <v>34</v>
      </c>
      <c r="K931" t="s">
        <v>25</v>
      </c>
      <c r="L931" t="s">
        <v>30</v>
      </c>
      <c r="M931" t="b">
        <v>1</v>
      </c>
      <c r="N931" t="s">
        <v>275</v>
      </c>
      <c r="P931" t="s">
        <v>276</v>
      </c>
      <c r="Q931" t="b">
        <v>1</v>
      </c>
      <c r="T931" t="str">
        <f>"9780310727088"</f>
        <v>9780310727088</v>
      </c>
      <c r="U931" t="b">
        <v>0</v>
      </c>
      <c r="W931" t="b">
        <v>0</v>
      </c>
    </row>
    <row r="932" spans="1:23" x14ac:dyDescent="0.3">
      <c r="A932">
        <v>2982625</v>
      </c>
      <c r="B932">
        <v>24.12</v>
      </c>
      <c r="C932" t="s">
        <v>2103</v>
      </c>
      <c r="D932" t="s">
        <v>2104</v>
      </c>
      <c r="E932" t="s">
        <v>23</v>
      </c>
      <c r="F932" t="s">
        <v>28</v>
      </c>
      <c r="G932">
        <v>2013</v>
      </c>
      <c r="H932" t="s">
        <v>1334</v>
      </c>
      <c r="K932" t="s">
        <v>25</v>
      </c>
      <c r="L932" t="s">
        <v>30</v>
      </c>
      <c r="M932" t="b">
        <v>1</v>
      </c>
      <c r="N932" t="s">
        <v>2105</v>
      </c>
      <c r="P932" t="s">
        <v>1322</v>
      </c>
      <c r="Q932" t="b">
        <v>0</v>
      </c>
      <c r="S932" t="str">
        <f>"9780310736134"</f>
        <v>9780310736134</v>
      </c>
      <c r="T932" t="str">
        <f>"9780310736141"</f>
        <v>9780310736141</v>
      </c>
      <c r="U932" t="b">
        <v>0</v>
      </c>
      <c r="W932" t="b">
        <v>0</v>
      </c>
    </row>
    <row r="933" spans="1:23" x14ac:dyDescent="0.3">
      <c r="A933">
        <v>2982624</v>
      </c>
      <c r="B933">
        <v>31.02</v>
      </c>
      <c r="C933" t="s">
        <v>2106</v>
      </c>
      <c r="E933" t="s">
        <v>23</v>
      </c>
      <c r="F933" t="s">
        <v>28</v>
      </c>
      <c r="G933">
        <v>2014</v>
      </c>
      <c r="H933" t="s">
        <v>1337</v>
      </c>
      <c r="K933" t="s">
        <v>25</v>
      </c>
      <c r="L933" t="s">
        <v>30</v>
      </c>
      <c r="M933" t="b">
        <v>1</v>
      </c>
      <c r="N933" t="s">
        <v>1784</v>
      </c>
      <c r="P933" t="s">
        <v>1785</v>
      </c>
      <c r="Q933" t="b">
        <v>1</v>
      </c>
      <c r="S933" t="str">
        <f>"9780310742456"</f>
        <v>9780310742456</v>
      </c>
      <c r="T933" t="str">
        <f>"9780310742463"</f>
        <v>9780310742463</v>
      </c>
      <c r="U933" t="b">
        <v>0</v>
      </c>
      <c r="W933" t="b">
        <v>0</v>
      </c>
    </row>
    <row r="934" spans="1:23" x14ac:dyDescent="0.3">
      <c r="A934">
        <v>2982623</v>
      </c>
      <c r="B934">
        <v>3.52</v>
      </c>
      <c r="C934" t="s">
        <v>2107</v>
      </c>
      <c r="E934" t="s">
        <v>23</v>
      </c>
      <c r="F934" t="s">
        <v>28</v>
      </c>
      <c r="G934">
        <v>2020</v>
      </c>
      <c r="H934" t="s">
        <v>707</v>
      </c>
      <c r="I934" t="s">
        <v>2108</v>
      </c>
      <c r="J934" t="s">
        <v>2109</v>
      </c>
      <c r="K934" t="s">
        <v>25</v>
      </c>
      <c r="L934" t="s">
        <v>26</v>
      </c>
      <c r="M934" t="b">
        <v>1</v>
      </c>
      <c r="N934" t="s">
        <v>1697</v>
      </c>
      <c r="O934" t="str">
        <f>"[Fic]"</f>
        <v>[Fic]</v>
      </c>
      <c r="P934" t="s">
        <v>2110</v>
      </c>
      <c r="Q934" t="b">
        <v>1</v>
      </c>
      <c r="T934" t="str">
        <f>"9780310748267"</f>
        <v>9780310748267</v>
      </c>
      <c r="U934" t="b">
        <v>0</v>
      </c>
      <c r="W934" t="b">
        <v>0</v>
      </c>
    </row>
    <row r="935" spans="1:23" x14ac:dyDescent="0.3">
      <c r="A935">
        <v>2982622</v>
      </c>
      <c r="B935">
        <v>17.22</v>
      </c>
      <c r="C935" t="s">
        <v>2111</v>
      </c>
      <c r="D935" t="s">
        <v>1640</v>
      </c>
      <c r="E935" t="s">
        <v>23</v>
      </c>
      <c r="F935" t="s">
        <v>28</v>
      </c>
      <c r="G935">
        <v>2009</v>
      </c>
      <c r="H935" t="s">
        <v>34</v>
      </c>
      <c r="K935" t="s">
        <v>25</v>
      </c>
      <c r="L935" t="s">
        <v>30</v>
      </c>
      <c r="M935" t="b">
        <v>1</v>
      </c>
      <c r="N935" t="s">
        <v>480</v>
      </c>
      <c r="P935" t="s">
        <v>1755</v>
      </c>
      <c r="Q935" t="b">
        <v>1</v>
      </c>
      <c r="S935" t="str">
        <f>"9780310714545"</f>
        <v>9780310714545</v>
      </c>
      <c r="T935" t="str">
        <f>"9780310868538"</f>
        <v>9780310868538</v>
      </c>
      <c r="U935" t="b">
        <v>0</v>
      </c>
      <c r="W935" t="b">
        <v>0</v>
      </c>
    </row>
    <row r="936" spans="1:23" x14ac:dyDescent="0.3">
      <c r="A936">
        <v>2982621</v>
      </c>
      <c r="B936">
        <v>53.27</v>
      </c>
      <c r="C936" t="s">
        <v>2112</v>
      </c>
      <c r="D936" t="s">
        <v>2113</v>
      </c>
      <c r="E936" t="s">
        <v>23</v>
      </c>
      <c r="F936" t="s">
        <v>28</v>
      </c>
      <c r="G936">
        <v>2016</v>
      </c>
      <c r="H936" t="s">
        <v>863</v>
      </c>
      <c r="K936" t="s">
        <v>25</v>
      </c>
      <c r="L936" t="s">
        <v>30</v>
      </c>
      <c r="M936" t="b">
        <v>1</v>
      </c>
      <c r="N936" t="s">
        <v>44</v>
      </c>
      <c r="Q936" t="b">
        <v>0</v>
      </c>
      <c r="T936" t="str">
        <f>"9780310731146"</f>
        <v>9780310731146</v>
      </c>
      <c r="U936" t="b">
        <v>0</v>
      </c>
      <c r="W936" t="b">
        <v>0</v>
      </c>
    </row>
    <row r="937" spans="1:23" x14ac:dyDescent="0.3">
      <c r="A937">
        <v>2982620</v>
      </c>
      <c r="B937">
        <v>28.39</v>
      </c>
      <c r="C937" t="s">
        <v>2114</v>
      </c>
      <c r="D937" t="s">
        <v>2115</v>
      </c>
      <c r="E937" t="s">
        <v>23</v>
      </c>
      <c r="F937" t="s">
        <v>28</v>
      </c>
      <c r="G937">
        <v>2010</v>
      </c>
      <c r="H937" t="s">
        <v>168</v>
      </c>
      <c r="K937" t="s">
        <v>25</v>
      </c>
      <c r="L937" t="s">
        <v>30</v>
      </c>
      <c r="M937" t="b">
        <v>1</v>
      </c>
      <c r="N937" t="s">
        <v>1908</v>
      </c>
      <c r="P937" t="s">
        <v>2116</v>
      </c>
      <c r="Q937" t="b">
        <v>0</v>
      </c>
      <c r="T937" t="str">
        <f>"9780310873648"</f>
        <v>9780310873648</v>
      </c>
      <c r="U937" t="b">
        <v>0</v>
      </c>
      <c r="W937" t="b">
        <v>0</v>
      </c>
    </row>
    <row r="938" spans="1:23" x14ac:dyDescent="0.3">
      <c r="A938">
        <v>2982619</v>
      </c>
      <c r="B938">
        <v>17.22</v>
      </c>
      <c r="C938" t="s">
        <v>2117</v>
      </c>
      <c r="D938" t="s">
        <v>138</v>
      </c>
      <c r="E938" t="s">
        <v>23</v>
      </c>
      <c r="F938" t="s">
        <v>28</v>
      </c>
      <c r="G938">
        <v>2011</v>
      </c>
      <c r="H938" t="s">
        <v>144</v>
      </c>
      <c r="K938" t="s">
        <v>25</v>
      </c>
      <c r="L938" t="s">
        <v>30</v>
      </c>
      <c r="M938" t="b">
        <v>1</v>
      </c>
      <c r="N938" t="s">
        <v>44</v>
      </c>
      <c r="P938" t="s">
        <v>1637</v>
      </c>
      <c r="Q938" t="b">
        <v>0</v>
      </c>
      <c r="S938" t="str">
        <f>"9780310721871"</f>
        <v>9780310721871</v>
      </c>
      <c r="T938" t="str">
        <f>"9780310410119"</f>
        <v>9780310410119</v>
      </c>
      <c r="U938" t="b">
        <v>0</v>
      </c>
      <c r="W938" t="b">
        <v>0</v>
      </c>
    </row>
    <row r="939" spans="1:23" x14ac:dyDescent="0.3">
      <c r="A939">
        <v>2982618</v>
      </c>
      <c r="B939">
        <v>24.12</v>
      </c>
      <c r="C939" t="s">
        <v>2118</v>
      </c>
      <c r="E939" t="s">
        <v>23</v>
      </c>
      <c r="F939" t="s">
        <v>28</v>
      </c>
      <c r="G939">
        <v>2010</v>
      </c>
      <c r="H939" t="s">
        <v>714</v>
      </c>
      <c r="K939" t="s">
        <v>25</v>
      </c>
      <c r="L939" t="s">
        <v>30</v>
      </c>
      <c r="M939" t="b">
        <v>1</v>
      </c>
      <c r="N939" t="s">
        <v>1721</v>
      </c>
      <c r="P939" t="s">
        <v>1722</v>
      </c>
      <c r="Q939" t="b">
        <v>1</v>
      </c>
      <c r="S939" t="str">
        <f>"9780310709459"</f>
        <v>9780310709459</v>
      </c>
      <c r="T939" t="str">
        <f>"9780310866787"</f>
        <v>9780310866787</v>
      </c>
      <c r="U939" t="b">
        <v>0</v>
      </c>
      <c r="W939" t="b">
        <v>0</v>
      </c>
    </row>
    <row r="940" spans="1:23" x14ac:dyDescent="0.3">
      <c r="A940">
        <v>2982617</v>
      </c>
      <c r="B940">
        <v>58.62</v>
      </c>
      <c r="C940" t="s">
        <v>2119</v>
      </c>
      <c r="D940" t="s">
        <v>2120</v>
      </c>
      <c r="E940" t="s">
        <v>23</v>
      </c>
      <c r="F940" t="s">
        <v>28</v>
      </c>
      <c r="G940">
        <v>2017</v>
      </c>
      <c r="H940" t="s">
        <v>168</v>
      </c>
      <c r="K940" t="s">
        <v>25</v>
      </c>
      <c r="L940" t="s">
        <v>26</v>
      </c>
      <c r="M940" t="b">
        <v>1</v>
      </c>
      <c r="N940" t="s">
        <v>2121</v>
      </c>
      <c r="P940" t="s">
        <v>84</v>
      </c>
      <c r="Q940" t="b">
        <v>0</v>
      </c>
      <c r="S940" t="str">
        <f>"9780310763147"</f>
        <v>9780310763147</v>
      </c>
      <c r="T940" t="str">
        <f>"9780310763185"</f>
        <v>9780310763185</v>
      </c>
      <c r="U940" t="b">
        <v>0</v>
      </c>
      <c r="W940" t="b">
        <v>0</v>
      </c>
    </row>
    <row r="941" spans="1:23" x14ac:dyDescent="0.3">
      <c r="A941">
        <v>2982616</v>
      </c>
      <c r="B941">
        <v>28.39</v>
      </c>
      <c r="C941" t="s">
        <v>2122</v>
      </c>
      <c r="E941" t="s">
        <v>23</v>
      </c>
      <c r="F941" t="s">
        <v>28</v>
      </c>
      <c r="G941">
        <v>2010</v>
      </c>
      <c r="H941" t="s">
        <v>531</v>
      </c>
      <c r="K941" t="s">
        <v>25</v>
      </c>
      <c r="L941" t="s">
        <v>30</v>
      </c>
      <c r="M941" t="b">
        <v>1</v>
      </c>
      <c r="N941" t="s">
        <v>1794</v>
      </c>
      <c r="P941" t="s">
        <v>1795</v>
      </c>
      <c r="Q941" t="b">
        <v>0</v>
      </c>
      <c r="T941" t="str">
        <f>"9780310870494"</f>
        <v>9780310870494</v>
      </c>
      <c r="U941" t="b">
        <v>0</v>
      </c>
      <c r="W941" t="b">
        <v>0</v>
      </c>
    </row>
    <row r="942" spans="1:23" x14ac:dyDescent="0.3">
      <c r="A942">
        <v>2982615</v>
      </c>
      <c r="B942">
        <v>17.73</v>
      </c>
      <c r="C942" t="s">
        <v>2123</v>
      </c>
      <c r="E942" t="s">
        <v>23</v>
      </c>
      <c r="F942" t="s">
        <v>28</v>
      </c>
      <c r="G942">
        <v>2009</v>
      </c>
      <c r="H942" t="s">
        <v>718</v>
      </c>
      <c r="K942" t="s">
        <v>25</v>
      </c>
      <c r="L942" t="s">
        <v>30</v>
      </c>
      <c r="M942" t="b">
        <v>1</v>
      </c>
      <c r="N942" t="s">
        <v>83</v>
      </c>
      <c r="P942" t="s">
        <v>1624</v>
      </c>
      <c r="Q942" t="b">
        <v>1</v>
      </c>
      <c r="T942" t="str">
        <f>"9780310568650"</f>
        <v>9780310568650</v>
      </c>
      <c r="U942" t="b">
        <v>0</v>
      </c>
      <c r="W942" t="b">
        <v>0</v>
      </c>
    </row>
    <row r="943" spans="1:23" x14ac:dyDescent="0.3">
      <c r="A943">
        <v>2982614</v>
      </c>
      <c r="B943">
        <v>24.12</v>
      </c>
      <c r="C943" t="s">
        <v>2124</v>
      </c>
      <c r="E943" t="s">
        <v>23</v>
      </c>
      <c r="F943" t="s">
        <v>28</v>
      </c>
      <c r="G943">
        <v>2010</v>
      </c>
      <c r="H943" t="s">
        <v>714</v>
      </c>
      <c r="K943" t="s">
        <v>25</v>
      </c>
      <c r="L943" t="s">
        <v>30</v>
      </c>
      <c r="M943" t="b">
        <v>1</v>
      </c>
      <c r="N943" t="s">
        <v>1721</v>
      </c>
      <c r="P943" t="s">
        <v>1722</v>
      </c>
      <c r="Q943" t="b">
        <v>1</v>
      </c>
      <c r="S943" t="str">
        <f>"9780310709442"</f>
        <v>9780310709442</v>
      </c>
      <c r="T943" t="str">
        <f>"9780310865742"</f>
        <v>9780310865742</v>
      </c>
      <c r="U943" t="b">
        <v>0</v>
      </c>
      <c r="W943" t="b">
        <v>0</v>
      </c>
    </row>
    <row r="944" spans="1:23" x14ac:dyDescent="0.3">
      <c r="A944">
        <v>2982613</v>
      </c>
      <c r="B944">
        <v>34.47</v>
      </c>
      <c r="C944" t="s">
        <v>2125</v>
      </c>
      <c r="D944" t="s">
        <v>1397</v>
      </c>
      <c r="E944" t="s">
        <v>23</v>
      </c>
      <c r="F944" t="s">
        <v>28</v>
      </c>
      <c r="G944">
        <v>2009</v>
      </c>
      <c r="H944" t="s">
        <v>168</v>
      </c>
      <c r="K944" t="s">
        <v>25</v>
      </c>
      <c r="L944" t="s">
        <v>30</v>
      </c>
      <c r="M944" t="b">
        <v>1</v>
      </c>
      <c r="N944" t="s">
        <v>1338</v>
      </c>
      <c r="P944" t="s">
        <v>84</v>
      </c>
      <c r="Q944" t="b">
        <v>0</v>
      </c>
      <c r="S944" t="str">
        <f>"9780310711445"</f>
        <v>9780310711445</v>
      </c>
      <c r="T944" t="str">
        <f>"9780310546375"</f>
        <v>9780310546375</v>
      </c>
      <c r="U944" t="b">
        <v>0</v>
      </c>
      <c r="W944" t="b">
        <v>0</v>
      </c>
    </row>
    <row r="945" spans="1:23" x14ac:dyDescent="0.3">
      <c r="A945">
        <v>2982612</v>
      </c>
      <c r="B945">
        <v>35.5</v>
      </c>
      <c r="C945" t="s">
        <v>2126</v>
      </c>
      <c r="D945" t="s">
        <v>2127</v>
      </c>
      <c r="E945" t="s">
        <v>23</v>
      </c>
      <c r="F945" t="s">
        <v>28</v>
      </c>
      <c r="G945">
        <v>2009</v>
      </c>
      <c r="H945" t="s">
        <v>34</v>
      </c>
      <c r="K945" t="s">
        <v>25</v>
      </c>
      <c r="L945" t="s">
        <v>30</v>
      </c>
      <c r="M945" t="b">
        <v>1</v>
      </c>
      <c r="N945" t="s">
        <v>1661</v>
      </c>
      <c r="P945" t="s">
        <v>1662</v>
      </c>
      <c r="Q945" t="b">
        <v>1</v>
      </c>
      <c r="T945" t="str">
        <f>"9780310870579"</f>
        <v>9780310870579</v>
      </c>
      <c r="U945" t="b">
        <v>0</v>
      </c>
      <c r="W945" t="b">
        <v>0</v>
      </c>
    </row>
    <row r="946" spans="1:23" x14ac:dyDescent="0.3">
      <c r="A946">
        <v>2982611</v>
      </c>
      <c r="B946">
        <v>21.29</v>
      </c>
      <c r="C946" t="s">
        <v>2128</v>
      </c>
      <c r="D946" t="s">
        <v>2129</v>
      </c>
      <c r="E946" t="s">
        <v>23</v>
      </c>
      <c r="F946" t="s">
        <v>28</v>
      </c>
      <c r="G946">
        <v>2012</v>
      </c>
      <c r="H946" t="s">
        <v>168</v>
      </c>
      <c r="K946" t="s">
        <v>25</v>
      </c>
      <c r="L946" t="s">
        <v>30</v>
      </c>
      <c r="M946" t="b">
        <v>1</v>
      </c>
      <c r="N946" t="s">
        <v>577</v>
      </c>
      <c r="P946" t="s">
        <v>84</v>
      </c>
      <c r="Q946" t="b">
        <v>0</v>
      </c>
      <c r="S946" t="str">
        <f>"9780310725343"</f>
        <v>9780310725343</v>
      </c>
      <c r="T946" t="str">
        <f>"9780310725381"</f>
        <v>9780310725381</v>
      </c>
      <c r="U946" t="b">
        <v>0</v>
      </c>
      <c r="W946" t="b">
        <v>0</v>
      </c>
    </row>
    <row r="947" spans="1:23" x14ac:dyDescent="0.3">
      <c r="A947">
        <v>2982610</v>
      </c>
      <c r="B947">
        <v>35.5</v>
      </c>
      <c r="C947" t="s">
        <v>2130</v>
      </c>
      <c r="D947" t="s">
        <v>2131</v>
      </c>
      <c r="E947" t="s">
        <v>23</v>
      </c>
      <c r="F947" t="s">
        <v>28</v>
      </c>
      <c r="G947">
        <v>2010</v>
      </c>
      <c r="H947" t="s">
        <v>718</v>
      </c>
      <c r="K947" t="s">
        <v>25</v>
      </c>
      <c r="L947" t="s">
        <v>30</v>
      </c>
      <c r="M947" t="b">
        <v>1</v>
      </c>
      <c r="N947" t="s">
        <v>1332</v>
      </c>
      <c r="Q947" t="b">
        <v>1</v>
      </c>
      <c r="T947" t="str">
        <f>"9780310423942"</f>
        <v>9780310423942</v>
      </c>
      <c r="U947" t="b">
        <v>0</v>
      </c>
      <c r="W947" t="b">
        <v>0</v>
      </c>
    </row>
    <row r="948" spans="1:23" x14ac:dyDescent="0.3">
      <c r="A948">
        <v>2982609</v>
      </c>
      <c r="B948">
        <v>17.73</v>
      </c>
      <c r="C948" t="s">
        <v>2132</v>
      </c>
      <c r="E948" t="s">
        <v>23</v>
      </c>
      <c r="F948" t="s">
        <v>28</v>
      </c>
      <c r="G948">
        <v>2009</v>
      </c>
      <c r="H948" t="s">
        <v>492</v>
      </c>
      <c r="K948" t="s">
        <v>25</v>
      </c>
      <c r="L948" t="s">
        <v>30</v>
      </c>
      <c r="M948" t="b">
        <v>1</v>
      </c>
      <c r="N948" t="s">
        <v>83</v>
      </c>
      <c r="P948" t="s">
        <v>1624</v>
      </c>
      <c r="Q948" t="b">
        <v>1</v>
      </c>
      <c r="T948" t="str">
        <f>"9780310568537"</f>
        <v>9780310568537</v>
      </c>
      <c r="U948" t="b">
        <v>0</v>
      </c>
      <c r="W948" t="b">
        <v>0</v>
      </c>
    </row>
    <row r="949" spans="1:23" x14ac:dyDescent="0.3">
      <c r="A949">
        <v>2982608</v>
      </c>
      <c r="B949">
        <v>49.71</v>
      </c>
      <c r="C949" t="s">
        <v>2133</v>
      </c>
      <c r="D949" t="s">
        <v>2134</v>
      </c>
      <c r="E949" t="s">
        <v>23</v>
      </c>
      <c r="F949" t="s">
        <v>28</v>
      </c>
      <c r="G949">
        <v>2015</v>
      </c>
      <c r="H949" t="s">
        <v>168</v>
      </c>
      <c r="K949" t="s">
        <v>25</v>
      </c>
      <c r="L949" t="s">
        <v>30</v>
      </c>
      <c r="M949" t="b">
        <v>1</v>
      </c>
      <c r="N949" t="s">
        <v>2135</v>
      </c>
      <c r="P949" t="s">
        <v>84</v>
      </c>
      <c r="Q949" t="b">
        <v>0</v>
      </c>
      <c r="T949" t="str">
        <f>"9780310753643"</f>
        <v>9780310753643</v>
      </c>
      <c r="U949" t="b">
        <v>0</v>
      </c>
      <c r="W949" t="b">
        <v>0</v>
      </c>
    </row>
    <row r="950" spans="1:23" x14ac:dyDescent="0.3">
      <c r="A950">
        <v>2982607</v>
      </c>
      <c r="B950">
        <v>21.29</v>
      </c>
      <c r="C950" t="s">
        <v>2136</v>
      </c>
      <c r="E950" t="s">
        <v>23</v>
      </c>
      <c r="F950" t="s">
        <v>28</v>
      </c>
      <c r="G950">
        <v>2009</v>
      </c>
      <c r="H950" t="s">
        <v>2137</v>
      </c>
      <c r="K950" t="s">
        <v>25</v>
      </c>
      <c r="L950" t="s">
        <v>30</v>
      </c>
      <c r="M950" t="b">
        <v>1</v>
      </c>
      <c r="N950" t="s">
        <v>83</v>
      </c>
      <c r="P950" t="s">
        <v>84</v>
      </c>
      <c r="Q950" t="b">
        <v>0</v>
      </c>
      <c r="S950" t="str">
        <f>"9780310712756"</f>
        <v>9780310712756</v>
      </c>
      <c r="T950" t="str">
        <f>"9780310850823"</f>
        <v>9780310850823</v>
      </c>
      <c r="U950" t="b">
        <v>0</v>
      </c>
      <c r="W950" t="b">
        <v>0</v>
      </c>
    </row>
    <row r="951" spans="1:23" x14ac:dyDescent="0.3">
      <c r="A951">
        <v>2982606</v>
      </c>
      <c r="B951">
        <v>17.22</v>
      </c>
      <c r="C951" t="s">
        <v>2138</v>
      </c>
      <c r="E951" t="s">
        <v>23</v>
      </c>
      <c r="F951" t="s">
        <v>28</v>
      </c>
      <c r="G951">
        <v>2009</v>
      </c>
      <c r="H951" t="s">
        <v>716</v>
      </c>
      <c r="K951" t="s">
        <v>25</v>
      </c>
      <c r="L951" t="s">
        <v>30</v>
      </c>
      <c r="M951" t="b">
        <v>1</v>
      </c>
      <c r="N951" t="s">
        <v>1856</v>
      </c>
      <c r="P951" t="s">
        <v>1857</v>
      </c>
      <c r="Q951" t="b">
        <v>1</v>
      </c>
      <c r="S951" t="str">
        <f>"9780310711933"</f>
        <v>9780310711933</v>
      </c>
      <c r="T951" t="str">
        <f>"9780310866602"</f>
        <v>9780310866602</v>
      </c>
      <c r="U951" t="b">
        <v>0</v>
      </c>
      <c r="W951" t="b">
        <v>0</v>
      </c>
    </row>
    <row r="952" spans="1:23" x14ac:dyDescent="0.3">
      <c r="A952">
        <v>2982605</v>
      </c>
      <c r="B952">
        <v>17.22</v>
      </c>
      <c r="C952" t="s">
        <v>2139</v>
      </c>
      <c r="D952" t="s">
        <v>138</v>
      </c>
      <c r="E952" t="s">
        <v>23</v>
      </c>
      <c r="F952" t="s">
        <v>28</v>
      </c>
      <c r="G952">
        <v>2011</v>
      </c>
      <c r="H952" t="s">
        <v>34</v>
      </c>
      <c r="K952" t="s">
        <v>25</v>
      </c>
      <c r="L952" t="s">
        <v>30</v>
      </c>
      <c r="M952" t="b">
        <v>1</v>
      </c>
      <c r="N952" t="s">
        <v>1810</v>
      </c>
      <c r="P952" t="s">
        <v>1811</v>
      </c>
      <c r="Q952" t="b">
        <v>1</v>
      </c>
      <c r="S952" t="str">
        <f>"9780310718093"</f>
        <v>9780310718093</v>
      </c>
      <c r="T952" t="str">
        <f>"9780310424741"</f>
        <v>9780310424741</v>
      </c>
      <c r="U952" t="b">
        <v>0</v>
      </c>
      <c r="W952" t="b">
        <v>0</v>
      </c>
    </row>
    <row r="953" spans="1:23" x14ac:dyDescent="0.3">
      <c r="A953">
        <v>2982604</v>
      </c>
      <c r="B953">
        <v>17.22</v>
      </c>
      <c r="C953" t="s">
        <v>2140</v>
      </c>
      <c r="D953" t="s">
        <v>2141</v>
      </c>
      <c r="E953" t="s">
        <v>23</v>
      </c>
      <c r="F953" t="s">
        <v>28</v>
      </c>
      <c r="G953">
        <v>2019</v>
      </c>
      <c r="H953" t="s">
        <v>1694</v>
      </c>
      <c r="K953" t="s">
        <v>25</v>
      </c>
      <c r="L953" t="s">
        <v>26</v>
      </c>
      <c r="M953" t="b">
        <v>1</v>
      </c>
      <c r="N953" t="s">
        <v>44</v>
      </c>
      <c r="Q953" t="b">
        <v>0</v>
      </c>
      <c r="S953" t="str">
        <f>"9780310769507"</f>
        <v>9780310769507</v>
      </c>
      <c r="T953" t="str">
        <f>"9780310769514"</f>
        <v>9780310769514</v>
      </c>
      <c r="U953" t="b">
        <v>0</v>
      </c>
      <c r="W953" t="b">
        <v>0</v>
      </c>
    </row>
    <row r="954" spans="1:23" x14ac:dyDescent="0.3">
      <c r="A954">
        <v>2982603</v>
      </c>
      <c r="B954">
        <v>68.97</v>
      </c>
      <c r="C954" t="s">
        <v>2142</v>
      </c>
      <c r="E954" t="s">
        <v>23</v>
      </c>
      <c r="F954" t="s">
        <v>28</v>
      </c>
      <c r="G954">
        <v>2011</v>
      </c>
      <c r="H954" t="s">
        <v>748</v>
      </c>
      <c r="K954" t="s">
        <v>25</v>
      </c>
      <c r="L954" t="s">
        <v>30</v>
      </c>
      <c r="M954" t="b">
        <v>1</v>
      </c>
      <c r="N954" t="s">
        <v>28</v>
      </c>
      <c r="Q954" t="b">
        <v>0</v>
      </c>
      <c r="S954" t="str">
        <f>"9780310722427"</f>
        <v>9780310722427</v>
      </c>
      <c r="T954" t="str">
        <f>"9780310729860"</f>
        <v>9780310729860</v>
      </c>
      <c r="U954" t="b">
        <v>0</v>
      </c>
      <c r="V954" t="s">
        <v>1775</v>
      </c>
      <c r="W954" t="b">
        <v>0</v>
      </c>
    </row>
    <row r="955" spans="1:23" x14ac:dyDescent="0.3">
      <c r="A955">
        <v>2982602</v>
      </c>
      <c r="B955">
        <v>27.57</v>
      </c>
      <c r="C955" t="s">
        <v>2143</v>
      </c>
      <c r="D955" t="s">
        <v>1405</v>
      </c>
      <c r="E955" t="s">
        <v>23</v>
      </c>
      <c r="F955" t="s">
        <v>28</v>
      </c>
      <c r="G955">
        <v>2009</v>
      </c>
      <c r="H955" t="s">
        <v>1406</v>
      </c>
      <c r="K955" t="s">
        <v>25</v>
      </c>
      <c r="L955" t="s">
        <v>30</v>
      </c>
      <c r="M955" t="b">
        <v>1</v>
      </c>
      <c r="N955" t="s">
        <v>1937</v>
      </c>
      <c r="P955" t="s">
        <v>1408</v>
      </c>
      <c r="Q955" t="b">
        <v>1</v>
      </c>
      <c r="S955" t="str">
        <f>"9780310745822"</f>
        <v>9780310745822</v>
      </c>
      <c r="T955" t="str">
        <f>"9780310865896"</f>
        <v>9780310865896</v>
      </c>
      <c r="U955" t="b">
        <v>0</v>
      </c>
      <c r="W955" t="b">
        <v>0</v>
      </c>
    </row>
    <row r="956" spans="1:23" x14ac:dyDescent="0.3">
      <c r="A956">
        <v>2982601</v>
      </c>
      <c r="B956">
        <v>28.39</v>
      </c>
      <c r="C956" t="s">
        <v>2144</v>
      </c>
      <c r="D956" t="s">
        <v>2145</v>
      </c>
      <c r="E956" t="s">
        <v>23</v>
      </c>
      <c r="F956" t="s">
        <v>28</v>
      </c>
      <c r="G956">
        <v>2014</v>
      </c>
      <c r="H956" t="s">
        <v>168</v>
      </c>
      <c r="K956" t="s">
        <v>25</v>
      </c>
      <c r="L956" t="s">
        <v>26</v>
      </c>
      <c r="M956" t="b">
        <v>1</v>
      </c>
      <c r="N956" t="s">
        <v>2146</v>
      </c>
      <c r="Q956" t="b">
        <v>0</v>
      </c>
      <c r="T956" t="str">
        <f>"9780310742647"</f>
        <v>9780310742647</v>
      </c>
      <c r="U956" t="b">
        <v>0</v>
      </c>
      <c r="W956" t="b">
        <v>0</v>
      </c>
    </row>
    <row r="957" spans="1:23" x14ac:dyDescent="0.3">
      <c r="A957">
        <v>2982600</v>
      </c>
      <c r="B957">
        <v>55.17</v>
      </c>
      <c r="C957" t="s">
        <v>2147</v>
      </c>
      <c r="E957" t="s">
        <v>23</v>
      </c>
      <c r="F957" t="s">
        <v>28</v>
      </c>
      <c r="G957">
        <v>2011</v>
      </c>
      <c r="H957" t="s">
        <v>484</v>
      </c>
      <c r="K957" t="s">
        <v>25</v>
      </c>
      <c r="L957" t="s">
        <v>30</v>
      </c>
      <c r="M957" t="b">
        <v>1</v>
      </c>
      <c r="N957" t="s">
        <v>408</v>
      </c>
      <c r="Q957" t="b">
        <v>1</v>
      </c>
      <c r="S957" t="str">
        <f>"9780310716877"</f>
        <v>9780310716877</v>
      </c>
      <c r="T957" t="str">
        <f>"9780310423959"</f>
        <v>9780310423959</v>
      </c>
      <c r="U957" t="b">
        <v>0</v>
      </c>
      <c r="W957" t="b">
        <v>0</v>
      </c>
    </row>
    <row r="958" spans="1:23" x14ac:dyDescent="0.3">
      <c r="A958">
        <v>2982599</v>
      </c>
      <c r="B958">
        <v>17.73</v>
      </c>
      <c r="C958" t="s">
        <v>2148</v>
      </c>
      <c r="E958" t="s">
        <v>23</v>
      </c>
      <c r="F958" t="s">
        <v>28</v>
      </c>
      <c r="G958">
        <v>2009</v>
      </c>
      <c r="H958" t="s">
        <v>718</v>
      </c>
      <c r="K958" t="s">
        <v>25</v>
      </c>
      <c r="L958" t="s">
        <v>30</v>
      </c>
      <c r="M958" t="b">
        <v>1</v>
      </c>
      <c r="N958" t="s">
        <v>83</v>
      </c>
      <c r="P958" t="s">
        <v>1624</v>
      </c>
      <c r="Q958" t="b">
        <v>1</v>
      </c>
      <c r="S958" t="str">
        <f>"9780310707608"</f>
        <v>9780310707608</v>
      </c>
      <c r="T958" t="str">
        <f>"9780310568599"</f>
        <v>9780310568599</v>
      </c>
      <c r="U958" t="b">
        <v>0</v>
      </c>
      <c r="W958" t="b">
        <v>0</v>
      </c>
    </row>
    <row r="959" spans="1:23" x14ac:dyDescent="0.3">
      <c r="A959">
        <v>2982598</v>
      </c>
      <c r="B959">
        <v>35.5</v>
      </c>
      <c r="C959" t="s">
        <v>2149</v>
      </c>
      <c r="E959" t="s">
        <v>23</v>
      </c>
      <c r="F959" t="s">
        <v>28</v>
      </c>
      <c r="G959">
        <v>2010</v>
      </c>
      <c r="H959" t="s">
        <v>141</v>
      </c>
      <c r="K959" t="s">
        <v>25</v>
      </c>
      <c r="L959" t="s">
        <v>30</v>
      </c>
      <c r="M959" t="b">
        <v>1</v>
      </c>
      <c r="N959" t="s">
        <v>146</v>
      </c>
      <c r="P959" t="s">
        <v>146</v>
      </c>
      <c r="Q959" t="b">
        <v>1</v>
      </c>
      <c r="T959" t="str">
        <f>"9780310868491"</f>
        <v>9780310868491</v>
      </c>
      <c r="U959" t="b">
        <v>0</v>
      </c>
      <c r="W959" t="b">
        <v>0</v>
      </c>
    </row>
    <row r="960" spans="1:23" x14ac:dyDescent="0.3">
      <c r="A960">
        <v>2982597</v>
      </c>
      <c r="B960">
        <v>28.39</v>
      </c>
      <c r="C960" t="s">
        <v>2150</v>
      </c>
      <c r="D960" t="s">
        <v>2151</v>
      </c>
      <c r="E960" t="s">
        <v>23</v>
      </c>
      <c r="F960" t="s">
        <v>28</v>
      </c>
      <c r="G960">
        <v>2009</v>
      </c>
      <c r="H960" t="s">
        <v>34</v>
      </c>
      <c r="K960" t="s">
        <v>25</v>
      </c>
      <c r="L960" t="s">
        <v>30</v>
      </c>
      <c r="M960" t="b">
        <v>1</v>
      </c>
      <c r="N960" t="s">
        <v>1615</v>
      </c>
      <c r="P960" t="s">
        <v>1616</v>
      </c>
      <c r="Q960" t="b">
        <v>1</v>
      </c>
      <c r="T960" t="str">
        <f>"9780310868750"</f>
        <v>9780310868750</v>
      </c>
      <c r="U960" t="b">
        <v>0</v>
      </c>
      <c r="W960" t="b">
        <v>0</v>
      </c>
    </row>
    <row r="961" spans="1:23" x14ac:dyDescent="0.3">
      <c r="A961">
        <v>2982596</v>
      </c>
      <c r="B961">
        <v>17.73</v>
      </c>
      <c r="C961" t="s">
        <v>2152</v>
      </c>
      <c r="E961" t="s">
        <v>23</v>
      </c>
      <c r="F961" t="s">
        <v>28</v>
      </c>
      <c r="G961">
        <v>2009</v>
      </c>
      <c r="H961" t="s">
        <v>718</v>
      </c>
      <c r="K961" t="s">
        <v>25</v>
      </c>
      <c r="L961" t="s">
        <v>30</v>
      </c>
      <c r="M961" t="b">
        <v>1</v>
      </c>
      <c r="N961" t="s">
        <v>408</v>
      </c>
      <c r="P961" t="s">
        <v>1587</v>
      </c>
      <c r="Q961" t="b">
        <v>1</v>
      </c>
      <c r="T961" t="str">
        <f>"9780310856047"</f>
        <v>9780310856047</v>
      </c>
      <c r="U961" t="b">
        <v>0</v>
      </c>
      <c r="W961" t="b">
        <v>0</v>
      </c>
    </row>
    <row r="962" spans="1:23" x14ac:dyDescent="0.3">
      <c r="A962">
        <v>2982595</v>
      </c>
      <c r="B962">
        <v>14.18</v>
      </c>
      <c r="C962" t="s">
        <v>2153</v>
      </c>
      <c r="E962" t="s">
        <v>23</v>
      </c>
      <c r="F962" t="s">
        <v>28</v>
      </c>
      <c r="G962">
        <v>2010</v>
      </c>
      <c r="H962" t="s">
        <v>714</v>
      </c>
      <c r="K962" t="s">
        <v>25</v>
      </c>
      <c r="L962" t="s">
        <v>30</v>
      </c>
      <c r="M962" t="b">
        <v>1</v>
      </c>
      <c r="N962" t="s">
        <v>1657</v>
      </c>
      <c r="P962" t="s">
        <v>1658</v>
      </c>
      <c r="Q962" t="b">
        <v>1</v>
      </c>
      <c r="T962" t="str">
        <f>"9780310866183"</f>
        <v>9780310866183</v>
      </c>
      <c r="U962" t="b">
        <v>0</v>
      </c>
      <c r="W962" t="b">
        <v>0</v>
      </c>
    </row>
    <row r="963" spans="1:23" x14ac:dyDescent="0.3">
      <c r="A963">
        <v>2982594</v>
      </c>
      <c r="B963">
        <v>3.52</v>
      </c>
      <c r="C963" t="s">
        <v>2154</v>
      </c>
      <c r="E963" t="s">
        <v>23</v>
      </c>
      <c r="F963" t="s">
        <v>28</v>
      </c>
      <c r="G963">
        <v>2012</v>
      </c>
      <c r="H963" t="s">
        <v>717</v>
      </c>
      <c r="I963" t="s">
        <v>1494</v>
      </c>
      <c r="J963" t="s">
        <v>2155</v>
      </c>
      <c r="K963" t="s">
        <v>25</v>
      </c>
      <c r="L963" t="s">
        <v>30</v>
      </c>
      <c r="M963" t="b">
        <v>1</v>
      </c>
      <c r="N963" t="s">
        <v>1496</v>
      </c>
      <c r="O963" t="str">
        <f>"[Fic]"</f>
        <v>[Fic]</v>
      </c>
      <c r="P963" t="s">
        <v>2156</v>
      </c>
      <c r="Q963" t="b">
        <v>1</v>
      </c>
      <c r="T963" t="str">
        <f>"9780310728559"</f>
        <v>9780310728559</v>
      </c>
      <c r="U963" t="b">
        <v>0</v>
      </c>
      <c r="W963" t="b">
        <v>0</v>
      </c>
    </row>
    <row r="964" spans="1:23" x14ac:dyDescent="0.3">
      <c r="A964">
        <v>2982593</v>
      </c>
      <c r="B964">
        <v>24.12</v>
      </c>
      <c r="C964" t="s">
        <v>2157</v>
      </c>
      <c r="D964" t="s">
        <v>1684</v>
      </c>
      <c r="E964" t="s">
        <v>23</v>
      </c>
      <c r="F964" t="s">
        <v>28</v>
      </c>
      <c r="G964">
        <v>2019</v>
      </c>
      <c r="H964" t="s">
        <v>2158</v>
      </c>
      <c r="K964" t="s">
        <v>25</v>
      </c>
      <c r="L964" t="s">
        <v>26</v>
      </c>
      <c r="M964" t="b">
        <v>1</v>
      </c>
      <c r="N964" t="s">
        <v>35</v>
      </c>
      <c r="P964" t="s">
        <v>36</v>
      </c>
      <c r="Q964" t="b">
        <v>1</v>
      </c>
      <c r="S964" t="str">
        <f>"9780310767831"</f>
        <v>9780310767831</v>
      </c>
      <c r="T964" t="str">
        <f>"9780310767879"</f>
        <v>9780310767879</v>
      </c>
      <c r="U964" t="b">
        <v>0</v>
      </c>
      <c r="W964" t="b">
        <v>0</v>
      </c>
    </row>
    <row r="965" spans="1:23" x14ac:dyDescent="0.3">
      <c r="A965">
        <v>2982592</v>
      </c>
      <c r="B965">
        <v>17.22</v>
      </c>
      <c r="C965" t="s">
        <v>2159</v>
      </c>
      <c r="E965" t="s">
        <v>23</v>
      </c>
      <c r="F965" t="s">
        <v>28</v>
      </c>
      <c r="G965">
        <v>2011</v>
      </c>
      <c r="H965" t="s">
        <v>34</v>
      </c>
      <c r="K965" t="s">
        <v>25</v>
      </c>
      <c r="L965" t="s">
        <v>30</v>
      </c>
      <c r="M965" t="b">
        <v>1</v>
      </c>
      <c r="N965" t="s">
        <v>2160</v>
      </c>
      <c r="P965" t="s">
        <v>1499</v>
      </c>
      <c r="Q965" t="b">
        <v>1</v>
      </c>
      <c r="S965" t="str">
        <f>"9780310704683"</f>
        <v>9780310704683</v>
      </c>
      <c r="T965" t="str">
        <f>"9780310424260"</f>
        <v>9780310424260</v>
      </c>
      <c r="U965" t="b">
        <v>0</v>
      </c>
      <c r="W965" t="b">
        <v>0</v>
      </c>
    </row>
    <row r="966" spans="1:23" x14ac:dyDescent="0.3">
      <c r="A966">
        <v>2982591</v>
      </c>
      <c r="B966">
        <v>34.47</v>
      </c>
      <c r="C966" t="s">
        <v>2161</v>
      </c>
      <c r="D966" t="s">
        <v>2162</v>
      </c>
      <c r="E966" t="s">
        <v>23</v>
      </c>
      <c r="F966" t="s">
        <v>28</v>
      </c>
      <c r="G966">
        <v>2015</v>
      </c>
      <c r="H966" t="s">
        <v>168</v>
      </c>
      <c r="K966" t="s">
        <v>25</v>
      </c>
      <c r="L966" t="s">
        <v>26</v>
      </c>
      <c r="M966" t="b">
        <v>1</v>
      </c>
      <c r="N966" t="s">
        <v>44</v>
      </c>
      <c r="Q966" t="b">
        <v>0</v>
      </c>
      <c r="S966" t="str">
        <f>"9780310753452"</f>
        <v>9780310753452</v>
      </c>
      <c r="T966" t="str">
        <f>"9780310753964"</f>
        <v>9780310753964</v>
      </c>
      <c r="U966" t="b">
        <v>0</v>
      </c>
      <c r="W966" t="b">
        <v>0</v>
      </c>
    </row>
    <row r="967" spans="1:23" x14ac:dyDescent="0.3">
      <c r="A967">
        <v>2982590</v>
      </c>
      <c r="B967">
        <v>27.57</v>
      </c>
      <c r="C967" t="s">
        <v>2163</v>
      </c>
      <c r="E967" t="s">
        <v>23</v>
      </c>
      <c r="F967" t="s">
        <v>28</v>
      </c>
      <c r="G967">
        <v>2012</v>
      </c>
      <c r="H967" t="s">
        <v>41</v>
      </c>
      <c r="K967" t="s">
        <v>25</v>
      </c>
      <c r="L967" t="s">
        <v>26</v>
      </c>
      <c r="M967" t="b">
        <v>1</v>
      </c>
      <c r="N967" t="s">
        <v>1553</v>
      </c>
      <c r="P967" t="s">
        <v>1554</v>
      </c>
      <c r="Q967" t="b">
        <v>1</v>
      </c>
      <c r="S967" t="str">
        <f>"9780310726661"</f>
        <v>9780310726661</v>
      </c>
      <c r="T967" t="str">
        <f>"9780310726678"</f>
        <v>9780310726678</v>
      </c>
      <c r="U967" t="b">
        <v>0</v>
      </c>
      <c r="W967" t="b">
        <v>0</v>
      </c>
    </row>
    <row r="968" spans="1:23" x14ac:dyDescent="0.3">
      <c r="A968">
        <v>2982589</v>
      </c>
      <c r="B968">
        <v>17.73</v>
      </c>
      <c r="C968" t="s">
        <v>2164</v>
      </c>
      <c r="E968" t="s">
        <v>23</v>
      </c>
      <c r="F968" t="s">
        <v>28</v>
      </c>
      <c r="G968">
        <v>2011</v>
      </c>
      <c r="H968" t="s">
        <v>1337</v>
      </c>
      <c r="K968" t="s">
        <v>25</v>
      </c>
      <c r="L968" t="s">
        <v>30</v>
      </c>
      <c r="M968" t="b">
        <v>1</v>
      </c>
      <c r="N968" t="s">
        <v>675</v>
      </c>
      <c r="P968" t="s">
        <v>721</v>
      </c>
      <c r="Q968" t="b">
        <v>1</v>
      </c>
      <c r="T968" t="str">
        <f>"9780310424178"</f>
        <v>9780310424178</v>
      </c>
      <c r="U968" t="b">
        <v>0</v>
      </c>
      <c r="W968" t="b">
        <v>0</v>
      </c>
    </row>
    <row r="969" spans="1:23" x14ac:dyDescent="0.3">
      <c r="A969">
        <v>2982588</v>
      </c>
      <c r="B969">
        <v>24.12</v>
      </c>
      <c r="C969" t="s">
        <v>2165</v>
      </c>
      <c r="E969" t="s">
        <v>23</v>
      </c>
      <c r="F969" t="s">
        <v>28</v>
      </c>
      <c r="G969">
        <v>2011</v>
      </c>
      <c r="H969" t="s">
        <v>1681</v>
      </c>
      <c r="K969" t="s">
        <v>25</v>
      </c>
      <c r="L969" t="s">
        <v>30</v>
      </c>
      <c r="M969" t="b">
        <v>1</v>
      </c>
      <c r="N969" t="s">
        <v>1682</v>
      </c>
      <c r="P969" t="s">
        <v>1322</v>
      </c>
      <c r="Q969" t="b">
        <v>0</v>
      </c>
      <c r="S969" t="str">
        <f>"9780310727569"</f>
        <v>9780310727569</v>
      </c>
      <c r="T969" t="str">
        <f>"9780310727576"</f>
        <v>9780310727576</v>
      </c>
      <c r="U969" t="b">
        <v>0</v>
      </c>
      <c r="W969" t="b">
        <v>0</v>
      </c>
    </row>
    <row r="970" spans="1:23" x14ac:dyDescent="0.3">
      <c r="A970">
        <v>2982587</v>
      </c>
      <c r="B970">
        <v>68.97</v>
      </c>
      <c r="C970" t="s">
        <v>2166</v>
      </c>
      <c r="E970" t="s">
        <v>23</v>
      </c>
      <c r="F970" t="s">
        <v>28</v>
      </c>
      <c r="G970">
        <v>2011</v>
      </c>
      <c r="H970" t="s">
        <v>222</v>
      </c>
      <c r="K970" t="s">
        <v>25</v>
      </c>
      <c r="L970" t="s">
        <v>30</v>
      </c>
      <c r="M970" t="b">
        <v>1</v>
      </c>
      <c r="N970" t="s">
        <v>1782</v>
      </c>
      <c r="P970" t="s">
        <v>1316</v>
      </c>
      <c r="Q970" t="b">
        <v>0</v>
      </c>
      <c r="S970" t="str">
        <f>"9780310719755"</f>
        <v>9780310719755</v>
      </c>
      <c r="T970" t="str">
        <f>"9780310426172"</f>
        <v>9780310426172</v>
      </c>
      <c r="U970" t="b">
        <v>0</v>
      </c>
      <c r="W970" t="b">
        <v>0</v>
      </c>
    </row>
    <row r="971" spans="1:23" x14ac:dyDescent="0.3">
      <c r="A971">
        <v>2982586</v>
      </c>
      <c r="B971">
        <v>24.84</v>
      </c>
      <c r="C971" t="s">
        <v>2167</v>
      </c>
      <c r="E971" t="s">
        <v>23</v>
      </c>
      <c r="F971" t="s">
        <v>28</v>
      </c>
      <c r="G971">
        <v>2012</v>
      </c>
      <c r="H971" t="s">
        <v>718</v>
      </c>
      <c r="K971" t="s">
        <v>25</v>
      </c>
      <c r="L971" t="s">
        <v>30</v>
      </c>
      <c r="M971" t="b">
        <v>1</v>
      </c>
      <c r="N971" t="s">
        <v>408</v>
      </c>
      <c r="P971" t="s">
        <v>1587</v>
      </c>
      <c r="Q971" t="b">
        <v>1</v>
      </c>
      <c r="T971" t="str">
        <f>"9780310730491"</f>
        <v>9780310730491</v>
      </c>
      <c r="U971" t="b">
        <v>0</v>
      </c>
      <c r="W971" t="b">
        <v>0</v>
      </c>
    </row>
    <row r="972" spans="1:23" x14ac:dyDescent="0.3">
      <c r="A972">
        <v>2982585</v>
      </c>
      <c r="B972">
        <v>44.82</v>
      </c>
      <c r="C972" t="s">
        <v>2168</v>
      </c>
      <c r="D972" t="s">
        <v>2169</v>
      </c>
      <c r="E972" t="s">
        <v>23</v>
      </c>
      <c r="F972" t="s">
        <v>28</v>
      </c>
      <c r="G972">
        <v>2014</v>
      </c>
      <c r="H972" t="s">
        <v>168</v>
      </c>
      <c r="K972" t="s">
        <v>25</v>
      </c>
      <c r="L972" t="s">
        <v>26</v>
      </c>
      <c r="M972" t="b">
        <v>1</v>
      </c>
      <c r="N972" t="s">
        <v>2170</v>
      </c>
      <c r="P972" t="s">
        <v>84</v>
      </c>
      <c r="Q972" t="b">
        <v>0</v>
      </c>
      <c r="S972" t="str">
        <f>"9780310736172"</f>
        <v>9780310736172</v>
      </c>
      <c r="T972" t="str">
        <f>"9780310736189"</f>
        <v>9780310736189</v>
      </c>
      <c r="U972" t="b">
        <v>0</v>
      </c>
      <c r="W972" t="b">
        <v>0</v>
      </c>
    </row>
    <row r="973" spans="1:23" x14ac:dyDescent="0.3">
      <c r="A973">
        <v>2982584</v>
      </c>
      <c r="B973">
        <v>27.57</v>
      </c>
      <c r="C973" t="s">
        <v>2171</v>
      </c>
      <c r="D973" t="s">
        <v>2172</v>
      </c>
      <c r="E973" t="s">
        <v>23</v>
      </c>
      <c r="F973" t="s">
        <v>28</v>
      </c>
      <c r="G973">
        <v>2016</v>
      </c>
      <c r="H973" t="s">
        <v>168</v>
      </c>
      <c r="K973" t="s">
        <v>25</v>
      </c>
      <c r="L973" t="s">
        <v>26</v>
      </c>
      <c r="M973" t="b">
        <v>1</v>
      </c>
      <c r="N973" t="s">
        <v>83</v>
      </c>
      <c r="P973" t="s">
        <v>84</v>
      </c>
      <c r="Q973" t="b">
        <v>0</v>
      </c>
      <c r="S973" t="str">
        <f>"9780310733218"</f>
        <v>9780310733218</v>
      </c>
      <c r="T973" t="str">
        <f>"9780310755234"</f>
        <v>9780310755234</v>
      </c>
      <c r="U973" t="b">
        <v>0</v>
      </c>
      <c r="W973" t="b">
        <v>0</v>
      </c>
    </row>
    <row r="974" spans="1:23" x14ac:dyDescent="0.3">
      <c r="A974">
        <v>2982583</v>
      </c>
      <c r="B974">
        <v>28.39</v>
      </c>
      <c r="C974" t="s">
        <v>2173</v>
      </c>
      <c r="D974" t="s">
        <v>2174</v>
      </c>
      <c r="E974" t="s">
        <v>23</v>
      </c>
      <c r="F974" t="s">
        <v>28</v>
      </c>
      <c r="G974">
        <v>2010</v>
      </c>
      <c r="H974" t="s">
        <v>34</v>
      </c>
      <c r="K974" t="s">
        <v>25</v>
      </c>
      <c r="L974" t="s">
        <v>30</v>
      </c>
      <c r="M974" t="b">
        <v>1</v>
      </c>
      <c r="N974" t="s">
        <v>1615</v>
      </c>
      <c r="P974" t="s">
        <v>1616</v>
      </c>
      <c r="Q974" t="b">
        <v>1</v>
      </c>
      <c r="T974" t="str">
        <f>"9780310423652"</f>
        <v>9780310423652</v>
      </c>
      <c r="U974" t="b">
        <v>0</v>
      </c>
      <c r="W974" t="b">
        <v>0</v>
      </c>
    </row>
    <row r="975" spans="1:23" x14ac:dyDescent="0.3">
      <c r="A975">
        <v>2982582</v>
      </c>
      <c r="B975">
        <v>21.29</v>
      </c>
      <c r="C975" t="s">
        <v>2175</v>
      </c>
      <c r="E975" t="s">
        <v>23</v>
      </c>
      <c r="F975" t="s">
        <v>28</v>
      </c>
      <c r="G975">
        <v>2012</v>
      </c>
      <c r="H975" t="s">
        <v>172</v>
      </c>
      <c r="K975" t="s">
        <v>25</v>
      </c>
      <c r="L975" t="s">
        <v>30</v>
      </c>
      <c r="M975" t="b">
        <v>1</v>
      </c>
      <c r="N975" t="s">
        <v>1575</v>
      </c>
      <c r="P975" t="s">
        <v>1576</v>
      </c>
      <c r="Q975" t="b">
        <v>1</v>
      </c>
      <c r="S975" t="str">
        <f>"9780310727972"</f>
        <v>9780310727972</v>
      </c>
      <c r="T975" t="str">
        <f>"9780310727989"</f>
        <v>9780310727989</v>
      </c>
      <c r="U975" t="b">
        <v>0</v>
      </c>
      <c r="W975" t="b">
        <v>0</v>
      </c>
    </row>
    <row r="976" spans="1:23" x14ac:dyDescent="0.3">
      <c r="A976">
        <v>2982581</v>
      </c>
      <c r="B976">
        <v>17.22</v>
      </c>
      <c r="C976" t="s">
        <v>2176</v>
      </c>
      <c r="D976" t="s">
        <v>138</v>
      </c>
      <c r="E976" t="s">
        <v>23</v>
      </c>
      <c r="F976" t="s">
        <v>28</v>
      </c>
      <c r="G976">
        <v>2011</v>
      </c>
      <c r="H976" t="s">
        <v>144</v>
      </c>
      <c r="K976" t="s">
        <v>25</v>
      </c>
      <c r="L976" t="s">
        <v>30</v>
      </c>
      <c r="M976" t="b">
        <v>1</v>
      </c>
      <c r="N976" t="s">
        <v>44</v>
      </c>
      <c r="P976" t="s">
        <v>1637</v>
      </c>
      <c r="Q976" t="b">
        <v>0</v>
      </c>
      <c r="S976" t="str">
        <f>"9780310721901"</f>
        <v>9780310721901</v>
      </c>
      <c r="T976" t="str">
        <f>"9780310410140"</f>
        <v>9780310410140</v>
      </c>
      <c r="U976" t="b">
        <v>0</v>
      </c>
      <c r="W976" t="b">
        <v>0</v>
      </c>
    </row>
    <row r="977" spans="1:23" x14ac:dyDescent="0.3">
      <c r="A977">
        <v>2982580</v>
      </c>
      <c r="B977">
        <v>35.5</v>
      </c>
      <c r="C977" t="s">
        <v>2177</v>
      </c>
      <c r="E977" t="s">
        <v>23</v>
      </c>
      <c r="F977" t="s">
        <v>28</v>
      </c>
      <c r="G977">
        <v>2011</v>
      </c>
      <c r="H977" t="s">
        <v>713</v>
      </c>
      <c r="K977" t="s">
        <v>25</v>
      </c>
      <c r="L977" t="s">
        <v>30</v>
      </c>
      <c r="M977" t="b">
        <v>1</v>
      </c>
      <c r="N977" t="s">
        <v>1703</v>
      </c>
      <c r="Q977" t="b">
        <v>1</v>
      </c>
      <c r="T977" t="str">
        <f>"9780310726838"</f>
        <v>9780310726838</v>
      </c>
      <c r="U977" t="b">
        <v>0</v>
      </c>
      <c r="W977" t="b">
        <v>0</v>
      </c>
    </row>
    <row r="978" spans="1:23" x14ac:dyDescent="0.3">
      <c r="A978">
        <v>2982579</v>
      </c>
      <c r="B978">
        <v>21.29</v>
      </c>
      <c r="C978" t="s">
        <v>2178</v>
      </c>
      <c r="E978" t="s">
        <v>23</v>
      </c>
      <c r="F978" t="s">
        <v>28</v>
      </c>
      <c r="G978">
        <v>2010</v>
      </c>
      <c r="H978" t="s">
        <v>492</v>
      </c>
      <c r="K978" t="s">
        <v>25</v>
      </c>
      <c r="L978" t="s">
        <v>30</v>
      </c>
      <c r="M978" t="b">
        <v>1</v>
      </c>
      <c r="N978" t="s">
        <v>83</v>
      </c>
      <c r="P978" t="s">
        <v>1372</v>
      </c>
      <c r="Q978" t="b">
        <v>1</v>
      </c>
      <c r="S978" t="str">
        <f>"9780310714538"</f>
        <v>9780310714538</v>
      </c>
      <c r="T978" t="str">
        <f>"9780310876885"</f>
        <v>9780310876885</v>
      </c>
      <c r="U978" t="b">
        <v>0</v>
      </c>
      <c r="W978" t="b">
        <v>0</v>
      </c>
    </row>
    <row r="979" spans="1:23" x14ac:dyDescent="0.3">
      <c r="A979">
        <v>2982578</v>
      </c>
      <c r="B979">
        <v>113.82</v>
      </c>
      <c r="C979" t="s">
        <v>2179</v>
      </c>
      <c r="E979" t="s">
        <v>23</v>
      </c>
      <c r="F979" t="s">
        <v>28</v>
      </c>
      <c r="G979">
        <v>2020</v>
      </c>
      <c r="H979" t="s">
        <v>2180</v>
      </c>
      <c r="K979" t="s">
        <v>25</v>
      </c>
      <c r="L979" t="s">
        <v>145</v>
      </c>
      <c r="M979" t="b">
        <v>1</v>
      </c>
      <c r="N979" t="s">
        <v>44</v>
      </c>
      <c r="P979" t="s">
        <v>234</v>
      </c>
      <c r="Q979" t="b">
        <v>0</v>
      </c>
      <c r="S979" t="str">
        <f>"9780310768487"</f>
        <v>9780310768487</v>
      </c>
      <c r="T979" t="str">
        <f>"9780310455172"</f>
        <v>9780310455172</v>
      </c>
      <c r="U979" t="b">
        <v>0</v>
      </c>
      <c r="W979" t="b">
        <v>0</v>
      </c>
    </row>
    <row r="980" spans="1:23" x14ac:dyDescent="0.3">
      <c r="A980">
        <v>2982577</v>
      </c>
      <c r="B980">
        <v>58.62</v>
      </c>
      <c r="C980" t="s">
        <v>2181</v>
      </c>
      <c r="E980" t="s">
        <v>23</v>
      </c>
      <c r="F980" t="s">
        <v>28</v>
      </c>
      <c r="G980">
        <v>2020</v>
      </c>
      <c r="H980" t="s">
        <v>707</v>
      </c>
      <c r="K980" t="s">
        <v>25</v>
      </c>
      <c r="L980" t="s">
        <v>26</v>
      </c>
      <c r="M980" t="b">
        <v>1</v>
      </c>
      <c r="N980" t="s">
        <v>1697</v>
      </c>
      <c r="P980" t="s">
        <v>1698</v>
      </c>
      <c r="Q980" t="b">
        <v>1</v>
      </c>
      <c r="S980" t="str">
        <f>"9780310767442"</f>
        <v>9780310767442</v>
      </c>
      <c r="T980" t="str">
        <f>"9780310767497"</f>
        <v>9780310767497</v>
      </c>
      <c r="U980" t="b">
        <v>0</v>
      </c>
      <c r="W980" t="b">
        <v>0</v>
      </c>
    </row>
    <row r="981" spans="1:23" x14ac:dyDescent="0.3">
      <c r="A981">
        <v>2982576</v>
      </c>
      <c r="B981">
        <v>14.18</v>
      </c>
      <c r="C981" t="s">
        <v>2182</v>
      </c>
      <c r="E981" t="s">
        <v>23</v>
      </c>
      <c r="F981" t="s">
        <v>28</v>
      </c>
      <c r="G981">
        <v>2010</v>
      </c>
      <c r="H981" t="s">
        <v>704</v>
      </c>
      <c r="K981" t="s">
        <v>25</v>
      </c>
      <c r="L981" t="s">
        <v>30</v>
      </c>
      <c r="M981" t="b">
        <v>1</v>
      </c>
      <c r="N981" t="s">
        <v>1563</v>
      </c>
      <c r="Q981" t="b">
        <v>1</v>
      </c>
      <c r="T981" t="str">
        <f>"9780310423928"</f>
        <v>9780310423928</v>
      </c>
      <c r="U981" t="b">
        <v>0</v>
      </c>
      <c r="W981" t="b">
        <v>0</v>
      </c>
    </row>
    <row r="982" spans="1:23" x14ac:dyDescent="0.3">
      <c r="A982">
        <v>2982575</v>
      </c>
      <c r="B982">
        <v>58.62</v>
      </c>
      <c r="C982" t="s">
        <v>2183</v>
      </c>
      <c r="D982" t="s">
        <v>2184</v>
      </c>
      <c r="E982" t="s">
        <v>23</v>
      </c>
      <c r="F982" t="s">
        <v>28</v>
      </c>
      <c r="G982">
        <v>2010</v>
      </c>
      <c r="H982" t="s">
        <v>75</v>
      </c>
      <c r="K982" t="s">
        <v>25</v>
      </c>
      <c r="L982" t="s">
        <v>30</v>
      </c>
      <c r="M982" t="b">
        <v>1</v>
      </c>
      <c r="N982" t="s">
        <v>703</v>
      </c>
      <c r="Q982" t="b">
        <v>0</v>
      </c>
      <c r="S982" t="str">
        <f>"9780310716730"</f>
        <v>9780310716730</v>
      </c>
      <c r="T982" t="str">
        <f>"9780310425212"</f>
        <v>9780310425212</v>
      </c>
      <c r="U982" t="b">
        <v>0</v>
      </c>
      <c r="W982" t="b">
        <v>0</v>
      </c>
    </row>
    <row r="983" spans="1:23" x14ac:dyDescent="0.3">
      <c r="A983">
        <v>2982574</v>
      </c>
      <c r="B983">
        <v>24.84</v>
      </c>
      <c r="C983" t="s">
        <v>2185</v>
      </c>
      <c r="E983" t="s">
        <v>23</v>
      </c>
      <c r="F983" t="s">
        <v>28</v>
      </c>
      <c r="G983">
        <v>2010</v>
      </c>
      <c r="H983" t="s">
        <v>2186</v>
      </c>
      <c r="K983" t="s">
        <v>25</v>
      </c>
      <c r="L983" t="s">
        <v>30</v>
      </c>
      <c r="M983" t="b">
        <v>1</v>
      </c>
      <c r="N983" t="s">
        <v>510</v>
      </c>
      <c r="P983" t="s">
        <v>1322</v>
      </c>
      <c r="Q983" t="b">
        <v>0</v>
      </c>
      <c r="S983" t="str">
        <f>"9780310721239"</f>
        <v>9780310721239</v>
      </c>
      <c r="T983" t="str">
        <f>"9780310599869"</f>
        <v>9780310599869</v>
      </c>
      <c r="U983" t="b">
        <v>0</v>
      </c>
      <c r="W983" t="b">
        <v>0</v>
      </c>
    </row>
    <row r="984" spans="1:23" x14ac:dyDescent="0.3">
      <c r="A984">
        <v>2982573</v>
      </c>
      <c r="B984">
        <v>17.73</v>
      </c>
      <c r="C984" t="s">
        <v>2187</v>
      </c>
      <c r="E984" t="s">
        <v>23</v>
      </c>
      <c r="F984" t="s">
        <v>28</v>
      </c>
      <c r="G984">
        <v>2009</v>
      </c>
      <c r="H984" t="s">
        <v>718</v>
      </c>
      <c r="K984" t="s">
        <v>25</v>
      </c>
      <c r="L984" t="s">
        <v>30</v>
      </c>
      <c r="M984" t="b">
        <v>1</v>
      </c>
      <c r="N984" t="s">
        <v>83</v>
      </c>
      <c r="P984" t="s">
        <v>1624</v>
      </c>
      <c r="Q984" t="b">
        <v>1</v>
      </c>
      <c r="S984" t="str">
        <f>"9780310707615"</f>
        <v>9780310707615</v>
      </c>
      <c r="T984" t="str">
        <f>"9780310568773"</f>
        <v>9780310568773</v>
      </c>
      <c r="U984" t="b">
        <v>0</v>
      </c>
      <c r="W984" t="b">
        <v>0</v>
      </c>
    </row>
    <row r="985" spans="1:23" x14ac:dyDescent="0.3">
      <c r="A985">
        <v>2982572</v>
      </c>
      <c r="B985">
        <v>42.61</v>
      </c>
      <c r="C985" t="s">
        <v>2188</v>
      </c>
      <c r="E985" t="s">
        <v>23</v>
      </c>
      <c r="F985" t="s">
        <v>28</v>
      </c>
      <c r="G985">
        <v>2009</v>
      </c>
      <c r="H985" t="s">
        <v>492</v>
      </c>
      <c r="K985" t="s">
        <v>25</v>
      </c>
      <c r="L985" t="s">
        <v>30</v>
      </c>
      <c r="M985" t="b">
        <v>1</v>
      </c>
      <c r="N985" t="s">
        <v>2189</v>
      </c>
      <c r="Q985" t="b">
        <v>1</v>
      </c>
      <c r="T985" t="str">
        <f>"9780310865667"</f>
        <v>9780310865667</v>
      </c>
      <c r="U985" t="b">
        <v>0</v>
      </c>
      <c r="W985" t="b">
        <v>0</v>
      </c>
    </row>
    <row r="986" spans="1:23" x14ac:dyDescent="0.3">
      <c r="A986">
        <v>2982571</v>
      </c>
      <c r="B986">
        <v>17.22</v>
      </c>
      <c r="C986" t="s">
        <v>2190</v>
      </c>
      <c r="D986" t="s">
        <v>143</v>
      </c>
      <c r="E986" t="s">
        <v>23</v>
      </c>
      <c r="F986" t="s">
        <v>28</v>
      </c>
      <c r="G986">
        <v>2009</v>
      </c>
      <c r="H986" t="s">
        <v>34</v>
      </c>
      <c r="K986" t="s">
        <v>25</v>
      </c>
      <c r="L986" t="s">
        <v>30</v>
      </c>
      <c r="M986" t="b">
        <v>1</v>
      </c>
      <c r="N986" t="s">
        <v>1504</v>
      </c>
      <c r="P986" t="s">
        <v>1505</v>
      </c>
      <c r="Q986" t="b">
        <v>1</v>
      </c>
      <c r="S986" t="str">
        <f>"9780310715849"</f>
        <v>9780310715849</v>
      </c>
      <c r="T986" t="str">
        <f>"9780310868637"</f>
        <v>9780310868637</v>
      </c>
      <c r="U986" t="b">
        <v>0</v>
      </c>
      <c r="W986" t="b">
        <v>0</v>
      </c>
    </row>
    <row r="987" spans="1:23" x14ac:dyDescent="0.3">
      <c r="A987">
        <v>2982570</v>
      </c>
      <c r="B987">
        <v>27.57</v>
      </c>
      <c r="C987" t="s">
        <v>2191</v>
      </c>
      <c r="E987" t="s">
        <v>23</v>
      </c>
      <c r="F987" t="s">
        <v>28</v>
      </c>
      <c r="G987">
        <v>2011</v>
      </c>
      <c r="H987" t="s">
        <v>41</v>
      </c>
      <c r="K987" t="s">
        <v>25</v>
      </c>
      <c r="L987" t="s">
        <v>30</v>
      </c>
      <c r="M987" t="b">
        <v>1</v>
      </c>
      <c r="N987" t="s">
        <v>2192</v>
      </c>
      <c r="P987" t="s">
        <v>721</v>
      </c>
      <c r="Q987" t="b">
        <v>1</v>
      </c>
      <c r="S987" t="str">
        <f>"9780310704669"</f>
        <v>9780310704669</v>
      </c>
      <c r="T987" t="str">
        <f>"9780310424352"</f>
        <v>9780310424352</v>
      </c>
      <c r="U987" t="b">
        <v>0</v>
      </c>
      <c r="W987" t="b">
        <v>0</v>
      </c>
    </row>
    <row r="988" spans="1:23" x14ac:dyDescent="0.3">
      <c r="A988">
        <v>2982569</v>
      </c>
      <c r="B988">
        <v>17.73</v>
      </c>
      <c r="C988" t="s">
        <v>2193</v>
      </c>
      <c r="E988" t="s">
        <v>23</v>
      </c>
      <c r="F988" t="s">
        <v>28</v>
      </c>
      <c r="G988">
        <v>2010</v>
      </c>
      <c r="H988" t="s">
        <v>1337</v>
      </c>
      <c r="K988" t="s">
        <v>25</v>
      </c>
      <c r="L988" t="s">
        <v>30</v>
      </c>
      <c r="M988" t="b">
        <v>1</v>
      </c>
      <c r="N988" t="s">
        <v>550</v>
      </c>
      <c r="P988" t="s">
        <v>1381</v>
      </c>
      <c r="Q988" t="b">
        <v>1</v>
      </c>
      <c r="T988" t="str">
        <f>"9780310872344"</f>
        <v>9780310872344</v>
      </c>
      <c r="U988" t="b">
        <v>0</v>
      </c>
      <c r="W988" t="b">
        <v>0</v>
      </c>
    </row>
    <row r="989" spans="1:23" x14ac:dyDescent="0.3">
      <c r="A989">
        <v>2982568</v>
      </c>
      <c r="B989">
        <v>3.52</v>
      </c>
      <c r="C989" t="s">
        <v>2194</v>
      </c>
      <c r="E989" t="s">
        <v>23</v>
      </c>
      <c r="F989" t="s">
        <v>28</v>
      </c>
      <c r="G989">
        <v>2020</v>
      </c>
      <c r="H989" t="s">
        <v>207</v>
      </c>
      <c r="I989" t="s">
        <v>1904</v>
      </c>
      <c r="J989" t="s">
        <v>1905</v>
      </c>
      <c r="K989" t="s">
        <v>25</v>
      </c>
      <c r="L989" t="s">
        <v>26</v>
      </c>
      <c r="M989" t="b">
        <v>1</v>
      </c>
      <c r="N989" t="s">
        <v>44</v>
      </c>
      <c r="O989" t="str">
        <f>"[E]"</f>
        <v>[E]</v>
      </c>
      <c r="Q989" t="b">
        <v>1</v>
      </c>
      <c r="T989" t="str">
        <f>"9780310748151"</f>
        <v>9780310748151</v>
      </c>
      <c r="U989" t="b">
        <v>0</v>
      </c>
      <c r="W989" t="b">
        <v>0</v>
      </c>
    </row>
    <row r="990" spans="1:23" x14ac:dyDescent="0.3">
      <c r="A990">
        <v>2982567</v>
      </c>
      <c r="B990">
        <v>39.049999999999997</v>
      </c>
      <c r="C990" t="s">
        <v>2195</v>
      </c>
      <c r="E990" t="s">
        <v>23</v>
      </c>
      <c r="F990" t="s">
        <v>28</v>
      </c>
      <c r="G990">
        <v>2011</v>
      </c>
      <c r="H990" t="s">
        <v>1343</v>
      </c>
      <c r="K990" t="s">
        <v>25</v>
      </c>
      <c r="L990" t="s">
        <v>30</v>
      </c>
      <c r="M990" t="b">
        <v>1</v>
      </c>
      <c r="N990" t="s">
        <v>44</v>
      </c>
      <c r="Q990" t="b">
        <v>0</v>
      </c>
      <c r="T990" t="str">
        <f>"9780310729778"</f>
        <v>9780310729778</v>
      </c>
      <c r="U990" t="b">
        <v>0</v>
      </c>
      <c r="W990" t="b">
        <v>0</v>
      </c>
    </row>
    <row r="991" spans="1:23" x14ac:dyDescent="0.3">
      <c r="A991">
        <v>2982566</v>
      </c>
      <c r="B991">
        <v>27.57</v>
      </c>
      <c r="C991" t="s">
        <v>2196</v>
      </c>
      <c r="E991" t="s">
        <v>23</v>
      </c>
      <c r="F991" t="s">
        <v>28</v>
      </c>
      <c r="G991">
        <v>2010</v>
      </c>
      <c r="H991" t="s">
        <v>492</v>
      </c>
      <c r="K991" t="s">
        <v>25</v>
      </c>
      <c r="L991" t="s">
        <v>30</v>
      </c>
      <c r="M991" t="b">
        <v>1</v>
      </c>
      <c r="N991" t="s">
        <v>2197</v>
      </c>
      <c r="Q991" t="b">
        <v>1</v>
      </c>
      <c r="S991" t="str">
        <f>"9780310723004"</f>
        <v>9780310723004</v>
      </c>
      <c r="T991" t="str">
        <f>"9780310398066"</f>
        <v>9780310398066</v>
      </c>
      <c r="U991" t="b">
        <v>0</v>
      </c>
      <c r="W991" t="b">
        <v>0</v>
      </c>
    </row>
    <row r="992" spans="1:23" x14ac:dyDescent="0.3">
      <c r="A992">
        <v>2982565</v>
      </c>
      <c r="B992">
        <v>24.84</v>
      </c>
      <c r="C992" t="s">
        <v>2198</v>
      </c>
      <c r="E992" t="s">
        <v>23</v>
      </c>
      <c r="F992" t="s">
        <v>28</v>
      </c>
      <c r="G992">
        <v>2012</v>
      </c>
      <c r="H992" t="s">
        <v>718</v>
      </c>
      <c r="K992" t="s">
        <v>25</v>
      </c>
      <c r="L992" t="s">
        <v>30</v>
      </c>
      <c r="M992" t="b">
        <v>1</v>
      </c>
      <c r="N992" t="s">
        <v>408</v>
      </c>
      <c r="P992" t="s">
        <v>1587</v>
      </c>
      <c r="Q992" t="b">
        <v>1</v>
      </c>
      <c r="T992" t="str">
        <f>"9780310730507"</f>
        <v>9780310730507</v>
      </c>
      <c r="U992" t="b">
        <v>0</v>
      </c>
      <c r="W992" t="b">
        <v>0</v>
      </c>
    </row>
    <row r="993" spans="1:23" x14ac:dyDescent="0.3">
      <c r="A993">
        <v>2982564</v>
      </c>
      <c r="B993">
        <v>28.39</v>
      </c>
      <c r="C993" t="s">
        <v>2199</v>
      </c>
      <c r="E993" t="s">
        <v>23</v>
      </c>
      <c r="F993" t="s">
        <v>28</v>
      </c>
      <c r="G993">
        <v>2015</v>
      </c>
      <c r="H993" t="s">
        <v>168</v>
      </c>
      <c r="K993" t="s">
        <v>25</v>
      </c>
      <c r="L993" t="s">
        <v>26</v>
      </c>
      <c r="M993" t="b">
        <v>1</v>
      </c>
      <c r="N993" t="s">
        <v>146</v>
      </c>
      <c r="P993" t="s">
        <v>146</v>
      </c>
      <c r="Q993" t="b">
        <v>0</v>
      </c>
      <c r="T993" t="str">
        <f>"9780310751007"</f>
        <v>9780310751007</v>
      </c>
      <c r="U993" t="b">
        <v>0</v>
      </c>
      <c r="W993" t="b">
        <v>0</v>
      </c>
    </row>
    <row r="994" spans="1:23" x14ac:dyDescent="0.3">
      <c r="A994">
        <v>2982563</v>
      </c>
      <c r="B994">
        <v>46.16</v>
      </c>
      <c r="C994" t="s">
        <v>2200</v>
      </c>
      <c r="D994" t="s">
        <v>2201</v>
      </c>
      <c r="E994" t="s">
        <v>23</v>
      </c>
      <c r="F994" t="s">
        <v>28</v>
      </c>
      <c r="G994">
        <v>2010</v>
      </c>
      <c r="H994" t="s">
        <v>162</v>
      </c>
      <c r="K994" t="s">
        <v>25</v>
      </c>
      <c r="M994" t="b">
        <v>1</v>
      </c>
      <c r="N994" t="s">
        <v>1739</v>
      </c>
      <c r="Q994" t="b">
        <v>1</v>
      </c>
      <c r="T994" t="str">
        <f>"9780310876946"</f>
        <v>9780310876946</v>
      </c>
      <c r="U994" t="b">
        <v>0</v>
      </c>
      <c r="W994" t="b">
        <v>0</v>
      </c>
    </row>
    <row r="995" spans="1:23" x14ac:dyDescent="0.3">
      <c r="A995">
        <v>2982562</v>
      </c>
      <c r="B995">
        <v>27.57</v>
      </c>
      <c r="C995" t="s">
        <v>2202</v>
      </c>
      <c r="D995" t="s">
        <v>1405</v>
      </c>
      <c r="E995" t="s">
        <v>23</v>
      </c>
      <c r="F995" t="s">
        <v>28</v>
      </c>
      <c r="G995">
        <v>2009</v>
      </c>
      <c r="H995" t="s">
        <v>1406</v>
      </c>
      <c r="K995" t="s">
        <v>25</v>
      </c>
      <c r="L995" t="s">
        <v>30</v>
      </c>
      <c r="M995" t="b">
        <v>1</v>
      </c>
      <c r="N995" t="s">
        <v>1937</v>
      </c>
      <c r="P995" t="s">
        <v>1408</v>
      </c>
      <c r="Q995" t="b">
        <v>1</v>
      </c>
      <c r="S995" t="str">
        <f>"9780310745396"</f>
        <v>9780310745396</v>
      </c>
      <c r="T995" t="str">
        <f>"9780310868507"</f>
        <v>9780310868507</v>
      </c>
      <c r="U995" t="b">
        <v>0</v>
      </c>
      <c r="W995" t="b">
        <v>0</v>
      </c>
    </row>
    <row r="996" spans="1:23" x14ac:dyDescent="0.3">
      <c r="A996">
        <v>2982561</v>
      </c>
      <c r="B996">
        <v>35.5</v>
      </c>
      <c r="C996" t="s">
        <v>2203</v>
      </c>
      <c r="E996" t="s">
        <v>23</v>
      </c>
      <c r="F996" t="s">
        <v>28</v>
      </c>
      <c r="G996">
        <v>2010</v>
      </c>
      <c r="H996" t="s">
        <v>704</v>
      </c>
      <c r="K996" t="s">
        <v>25</v>
      </c>
      <c r="L996" t="s">
        <v>30</v>
      </c>
      <c r="M996" t="b">
        <v>1</v>
      </c>
      <c r="N996" t="s">
        <v>1612</v>
      </c>
      <c r="Q996" t="b">
        <v>1</v>
      </c>
      <c r="T996" t="str">
        <f>"9780310869009"</f>
        <v>9780310869009</v>
      </c>
      <c r="U996" t="b">
        <v>0</v>
      </c>
      <c r="W996" t="b">
        <v>0</v>
      </c>
    </row>
    <row r="997" spans="1:23" x14ac:dyDescent="0.3">
      <c r="A997">
        <v>2982560</v>
      </c>
      <c r="B997">
        <v>24.12</v>
      </c>
      <c r="C997" t="s">
        <v>2204</v>
      </c>
      <c r="D997" t="s">
        <v>2205</v>
      </c>
      <c r="E997" t="s">
        <v>23</v>
      </c>
      <c r="F997" t="s">
        <v>28</v>
      </c>
      <c r="G997">
        <v>2016</v>
      </c>
      <c r="H997" t="s">
        <v>710</v>
      </c>
      <c r="K997" t="s">
        <v>25</v>
      </c>
      <c r="L997" t="s">
        <v>26</v>
      </c>
      <c r="M997" t="b">
        <v>1</v>
      </c>
      <c r="N997" t="s">
        <v>1869</v>
      </c>
      <c r="P997" t="s">
        <v>1322</v>
      </c>
      <c r="Q997" t="b">
        <v>0</v>
      </c>
      <c r="S997" t="str">
        <f>"9780310747079"</f>
        <v>9780310747079</v>
      </c>
      <c r="T997" t="str">
        <f>"9780310748540"</f>
        <v>9780310748540</v>
      </c>
      <c r="U997" t="b">
        <v>0</v>
      </c>
      <c r="W997" t="b">
        <v>0</v>
      </c>
    </row>
    <row r="998" spans="1:23" x14ac:dyDescent="0.3">
      <c r="A998">
        <v>2982559</v>
      </c>
      <c r="B998">
        <v>3.52</v>
      </c>
      <c r="C998" t="s">
        <v>2206</v>
      </c>
      <c r="E998" t="s">
        <v>23</v>
      </c>
      <c r="F998" t="s">
        <v>28</v>
      </c>
      <c r="G998">
        <v>2020</v>
      </c>
      <c r="H998" t="s">
        <v>192</v>
      </c>
      <c r="I998" t="s">
        <v>2207</v>
      </c>
      <c r="J998" t="s">
        <v>1987</v>
      </c>
      <c r="K998" t="s">
        <v>25</v>
      </c>
      <c r="L998" t="s">
        <v>26</v>
      </c>
      <c r="M998" t="b">
        <v>1</v>
      </c>
      <c r="N998" t="s">
        <v>44</v>
      </c>
      <c r="O998" t="str">
        <f>"813/.6"</f>
        <v>813/.6</v>
      </c>
      <c r="P998" t="s">
        <v>199</v>
      </c>
      <c r="Q998" t="b">
        <v>1</v>
      </c>
      <c r="T998" t="str">
        <f>"9780310743828"</f>
        <v>9780310743828</v>
      </c>
      <c r="U998" t="b">
        <v>0</v>
      </c>
      <c r="W998" t="b">
        <v>0</v>
      </c>
    </row>
    <row r="999" spans="1:23" x14ac:dyDescent="0.3">
      <c r="A999">
        <v>2982558</v>
      </c>
      <c r="B999">
        <v>62.07</v>
      </c>
      <c r="C999" t="s">
        <v>2208</v>
      </c>
      <c r="E999" t="s">
        <v>23</v>
      </c>
      <c r="F999" t="s">
        <v>28</v>
      </c>
      <c r="G999">
        <v>2015</v>
      </c>
      <c r="H999" t="s">
        <v>168</v>
      </c>
      <c r="K999" t="s">
        <v>25</v>
      </c>
      <c r="L999" t="s">
        <v>26</v>
      </c>
      <c r="M999" t="b">
        <v>1</v>
      </c>
      <c r="N999" t="s">
        <v>63</v>
      </c>
      <c r="P999" t="s">
        <v>64</v>
      </c>
      <c r="Q999" t="b">
        <v>0</v>
      </c>
      <c r="S999" t="str">
        <f>"9780310750468"</f>
        <v>9780310750468</v>
      </c>
      <c r="T999" t="str">
        <f>"9780310750451"</f>
        <v>9780310750451</v>
      </c>
      <c r="U999" t="b">
        <v>0</v>
      </c>
      <c r="W999" t="b">
        <v>0</v>
      </c>
    </row>
    <row r="1000" spans="1:23" x14ac:dyDescent="0.3">
      <c r="A1000">
        <v>2982557</v>
      </c>
      <c r="B1000">
        <v>35.5</v>
      </c>
      <c r="C1000" t="s">
        <v>2209</v>
      </c>
      <c r="E1000" t="s">
        <v>23</v>
      </c>
      <c r="F1000" t="s">
        <v>28</v>
      </c>
      <c r="G1000">
        <v>2009</v>
      </c>
      <c r="H1000" t="s">
        <v>704</v>
      </c>
      <c r="K1000" t="s">
        <v>25</v>
      </c>
      <c r="L1000" t="s">
        <v>30</v>
      </c>
      <c r="M1000" t="b">
        <v>1</v>
      </c>
      <c r="N1000" t="s">
        <v>1612</v>
      </c>
      <c r="Q1000" t="b">
        <v>1</v>
      </c>
      <c r="T1000" t="str">
        <f>"9780310868873"</f>
        <v>9780310868873</v>
      </c>
      <c r="U1000" t="b">
        <v>0</v>
      </c>
      <c r="W1000" t="b">
        <v>0</v>
      </c>
    </row>
    <row r="1001" spans="1:23" x14ac:dyDescent="0.3">
      <c r="A1001">
        <v>2982556</v>
      </c>
      <c r="B1001">
        <v>58.62</v>
      </c>
      <c r="C1001" t="s">
        <v>2210</v>
      </c>
      <c r="E1001" t="s">
        <v>23</v>
      </c>
      <c r="F1001" t="s">
        <v>28</v>
      </c>
      <c r="G1001">
        <v>2021</v>
      </c>
      <c r="H1001" t="s">
        <v>2211</v>
      </c>
      <c r="K1001" t="s">
        <v>25</v>
      </c>
      <c r="L1001" t="s">
        <v>26</v>
      </c>
      <c r="M1001" t="b">
        <v>1</v>
      </c>
      <c r="N1001" t="s">
        <v>2212</v>
      </c>
      <c r="Q1001" t="b">
        <v>1</v>
      </c>
      <c r="S1001" t="str">
        <f>"9780310770008"</f>
        <v>9780310770008</v>
      </c>
      <c r="T1001" t="str">
        <f>"9780310770022"</f>
        <v>9780310770022</v>
      </c>
      <c r="U1001" t="b">
        <v>0</v>
      </c>
      <c r="W1001" t="b">
        <v>0</v>
      </c>
    </row>
    <row r="1002" spans="1:23" x14ac:dyDescent="0.3">
      <c r="A1002">
        <v>2982555</v>
      </c>
      <c r="B1002">
        <v>17.22</v>
      </c>
      <c r="C1002" t="s">
        <v>2213</v>
      </c>
      <c r="D1002" t="s">
        <v>138</v>
      </c>
      <c r="E1002" t="s">
        <v>23</v>
      </c>
      <c r="F1002" t="s">
        <v>28</v>
      </c>
      <c r="G1002">
        <v>2011</v>
      </c>
      <c r="H1002" t="s">
        <v>144</v>
      </c>
      <c r="K1002" t="s">
        <v>25</v>
      </c>
      <c r="L1002" t="s">
        <v>30</v>
      </c>
      <c r="M1002" t="b">
        <v>1</v>
      </c>
      <c r="N1002" t="s">
        <v>44</v>
      </c>
      <c r="P1002" t="s">
        <v>1637</v>
      </c>
      <c r="Q1002" t="b">
        <v>0</v>
      </c>
      <c r="S1002" t="str">
        <f>"9780310721918"</f>
        <v>9780310721918</v>
      </c>
      <c r="T1002" t="str">
        <f>"9780310410157"</f>
        <v>9780310410157</v>
      </c>
      <c r="U1002" t="b">
        <v>0</v>
      </c>
      <c r="W1002" t="b">
        <v>0</v>
      </c>
    </row>
    <row r="1003" spans="1:23" x14ac:dyDescent="0.3">
      <c r="A1003">
        <v>2982400</v>
      </c>
      <c r="B1003">
        <v>27.57</v>
      </c>
      <c r="C1003" t="s">
        <v>2215</v>
      </c>
      <c r="E1003" t="s">
        <v>23</v>
      </c>
      <c r="F1003" t="s">
        <v>44</v>
      </c>
      <c r="G1003">
        <v>2021</v>
      </c>
      <c r="H1003" t="s">
        <v>58</v>
      </c>
      <c r="K1003" t="s">
        <v>25</v>
      </c>
      <c r="L1003" t="s">
        <v>26</v>
      </c>
      <c r="M1003" t="b">
        <v>1</v>
      </c>
      <c r="N1003" t="s">
        <v>2216</v>
      </c>
      <c r="Q1003" t="b">
        <v>0</v>
      </c>
      <c r="S1003" t="str">
        <f>"9780310219040"</f>
        <v>9780310219040</v>
      </c>
      <c r="T1003" t="str">
        <f>"9780310364849"</f>
        <v>9780310364849</v>
      </c>
      <c r="U1003" t="b">
        <v>0</v>
      </c>
      <c r="W1003" t="b">
        <v>0</v>
      </c>
    </row>
    <row r="1004" spans="1:23" x14ac:dyDescent="0.3">
      <c r="A1004">
        <v>2982399</v>
      </c>
      <c r="B1004">
        <v>53.27</v>
      </c>
      <c r="C1004" t="s">
        <v>2217</v>
      </c>
      <c r="D1004" t="s">
        <v>2218</v>
      </c>
      <c r="E1004" t="s">
        <v>23</v>
      </c>
      <c r="F1004" t="s">
        <v>44</v>
      </c>
      <c r="G1004">
        <v>2012</v>
      </c>
      <c r="H1004" t="s">
        <v>1349</v>
      </c>
      <c r="K1004" t="s">
        <v>25</v>
      </c>
      <c r="L1004" t="s">
        <v>30</v>
      </c>
      <c r="M1004" t="b">
        <v>1</v>
      </c>
      <c r="N1004" t="s">
        <v>44</v>
      </c>
      <c r="Q1004" t="b">
        <v>0</v>
      </c>
      <c r="T1004" t="str">
        <f>"9780310443223"</f>
        <v>9780310443223</v>
      </c>
      <c r="U1004" t="b">
        <v>0</v>
      </c>
      <c r="W1004" t="b">
        <v>0</v>
      </c>
    </row>
    <row r="1005" spans="1:23" x14ac:dyDescent="0.3">
      <c r="A1005">
        <v>2982398</v>
      </c>
      <c r="B1005">
        <v>51.72</v>
      </c>
      <c r="C1005" t="s">
        <v>2219</v>
      </c>
      <c r="D1005" t="s">
        <v>2220</v>
      </c>
      <c r="E1005" t="s">
        <v>23</v>
      </c>
      <c r="F1005" t="s">
        <v>44</v>
      </c>
      <c r="G1005">
        <v>2015</v>
      </c>
      <c r="H1005" t="s">
        <v>710</v>
      </c>
      <c r="K1005" t="s">
        <v>25</v>
      </c>
      <c r="L1005" t="s">
        <v>30</v>
      </c>
      <c r="M1005" t="b">
        <v>1</v>
      </c>
      <c r="N1005" t="s">
        <v>2221</v>
      </c>
      <c r="Q1005" t="b">
        <v>0</v>
      </c>
      <c r="S1005" t="str">
        <f>"9780310746157"</f>
        <v>9780310746157</v>
      </c>
      <c r="T1005" t="str">
        <f>"9780310746294"</f>
        <v>9780310746294</v>
      </c>
      <c r="U1005" t="b">
        <v>0</v>
      </c>
      <c r="W1005" t="b">
        <v>0</v>
      </c>
    </row>
    <row r="1006" spans="1:23" x14ac:dyDescent="0.3">
      <c r="A1006">
        <v>2982397</v>
      </c>
      <c r="B1006">
        <v>55.17</v>
      </c>
      <c r="C1006" t="s">
        <v>2222</v>
      </c>
      <c r="E1006" t="s">
        <v>23</v>
      </c>
      <c r="F1006" t="s">
        <v>44</v>
      </c>
      <c r="G1006">
        <v>2010</v>
      </c>
      <c r="H1006" t="s">
        <v>58</v>
      </c>
      <c r="K1006" t="s">
        <v>25</v>
      </c>
      <c r="L1006" t="s">
        <v>30</v>
      </c>
      <c r="M1006" t="b">
        <v>1</v>
      </c>
      <c r="N1006" t="s">
        <v>2223</v>
      </c>
      <c r="Q1006" t="b">
        <v>0</v>
      </c>
      <c r="S1006" t="str">
        <f>"9780310205449"</f>
        <v>9780310205449</v>
      </c>
      <c r="T1006" t="str">
        <f>"9780310872252"</f>
        <v>9780310872252</v>
      </c>
      <c r="U1006" t="b">
        <v>0</v>
      </c>
      <c r="W1006" t="b">
        <v>0</v>
      </c>
    </row>
    <row r="1007" spans="1:23" x14ac:dyDescent="0.3">
      <c r="A1007">
        <v>2982396</v>
      </c>
      <c r="B1007">
        <v>86.22</v>
      </c>
      <c r="C1007" t="s">
        <v>2224</v>
      </c>
      <c r="E1007" t="s">
        <v>23</v>
      </c>
      <c r="F1007" t="s">
        <v>44</v>
      </c>
      <c r="G1007">
        <v>2012</v>
      </c>
      <c r="H1007" t="s">
        <v>2225</v>
      </c>
      <c r="K1007" t="s">
        <v>25</v>
      </c>
      <c r="L1007" t="s">
        <v>30</v>
      </c>
      <c r="M1007" t="b">
        <v>1</v>
      </c>
      <c r="N1007" t="s">
        <v>44</v>
      </c>
      <c r="P1007" t="s">
        <v>2226</v>
      </c>
      <c r="Q1007" t="b">
        <v>0</v>
      </c>
      <c r="S1007" t="str">
        <f>"9780310950943"</f>
        <v>9780310950943</v>
      </c>
      <c r="T1007" t="str">
        <f>"9780310413509"</f>
        <v>9780310413509</v>
      </c>
      <c r="U1007" t="b">
        <v>0</v>
      </c>
      <c r="W1007" t="b">
        <v>0</v>
      </c>
    </row>
    <row r="1008" spans="1:23" x14ac:dyDescent="0.3">
      <c r="A1008">
        <v>2982395</v>
      </c>
      <c r="B1008">
        <v>8.49</v>
      </c>
      <c r="C1008" t="s">
        <v>2227</v>
      </c>
      <c r="E1008" t="s">
        <v>23</v>
      </c>
      <c r="F1008" t="s">
        <v>44</v>
      </c>
      <c r="G1008">
        <v>2012</v>
      </c>
      <c r="H1008" t="s">
        <v>1384</v>
      </c>
      <c r="K1008" t="s">
        <v>25</v>
      </c>
      <c r="L1008" t="s">
        <v>30</v>
      </c>
      <c r="M1008" t="b">
        <v>1</v>
      </c>
      <c r="N1008" t="s">
        <v>44</v>
      </c>
      <c r="P1008" t="s">
        <v>2226</v>
      </c>
      <c r="Q1008" t="b">
        <v>0</v>
      </c>
      <c r="T1008" t="str">
        <f>"9780310440901"</f>
        <v>9780310440901</v>
      </c>
      <c r="U1008" t="b">
        <v>0</v>
      </c>
      <c r="W1008" t="b">
        <v>0</v>
      </c>
    </row>
    <row r="1009" spans="1:23" x14ac:dyDescent="0.3">
      <c r="A1009">
        <v>2982394</v>
      </c>
      <c r="B1009">
        <v>35.5</v>
      </c>
      <c r="C1009" t="s">
        <v>2228</v>
      </c>
      <c r="D1009" t="s">
        <v>2229</v>
      </c>
      <c r="E1009" t="s">
        <v>23</v>
      </c>
      <c r="F1009" t="s">
        <v>44</v>
      </c>
      <c r="G1009">
        <v>2012</v>
      </c>
      <c r="H1009" t="s">
        <v>132</v>
      </c>
      <c r="K1009" t="s">
        <v>25</v>
      </c>
      <c r="L1009" t="s">
        <v>30</v>
      </c>
      <c r="M1009" t="b">
        <v>1</v>
      </c>
      <c r="N1009" t="s">
        <v>44</v>
      </c>
      <c r="P1009" t="s">
        <v>2226</v>
      </c>
      <c r="Q1009" t="b">
        <v>0</v>
      </c>
      <c r="T1009" t="str">
        <f>"9780310443254"</f>
        <v>9780310443254</v>
      </c>
      <c r="U1009" t="b">
        <v>0</v>
      </c>
      <c r="W1009" t="b">
        <v>0</v>
      </c>
    </row>
    <row r="1010" spans="1:23" x14ac:dyDescent="0.3">
      <c r="A1010">
        <v>2982393</v>
      </c>
      <c r="B1010">
        <v>86.22</v>
      </c>
      <c r="C1010" t="s">
        <v>2230</v>
      </c>
      <c r="D1010" t="s">
        <v>2231</v>
      </c>
      <c r="E1010" t="s">
        <v>23</v>
      </c>
      <c r="F1010" t="s">
        <v>44</v>
      </c>
      <c r="G1010">
        <v>2014</v>
      </c>
      <c r="H1010" t="s">
        <v>2232</v>
      </c>
      <c r="K1010" t="s">
        <v>25</v>
      </c>
      <c r="L1010" t="s">
        <v>30</v>
      </c>
      <c r="M1010" t="b">
        <v>1</v>
      </c>
      <c r="N1010" t="s">
        <v>280</v>
      </c>
      <c r="Q1010" t="b">
        <v>0</v>
      </c>
      <c r="S1010" t="str">
        <f>"9780310443834"</f>
        <v>9780310443834</v>
      </c>
      <c r="T1010" t="str">
        <f>"9780310433590"</f>
        <v>9780310433590</v>
      </c>
      <c r="U1010" t="b">
        <v>0</v>
      </c>
      <c r="W1010" t="b">
        <v>0</v>
      </c>
    </row>
    <row r="1011" spans="1:23" x14ac:dyDescent="0.3">
      <c r="A1011">
        <v>2982392</v>
      </c>
      <c r="B1011">
        <v>55.17</v>
      </c>
      <c r="C1011" t="s">
        <v>2233</v>
      </c>
      <c r="D1011" t="s">
        <v>2234</v>
      </c>
      <c r="E1011" t="s">
        <v>23</v>
      </c>
      <c r="F1011" t="s">
        <v>44</v>
      </c>
      <c r="G1011">
        <v>2009</v>
      </c>
      <c r="H1011" t="s">
        <v>58</v>
      </c>
      <c r="K1011" t="s">
        <v>25</v>
      </c>
      <c r="L1011" t="s">
        <v>30</v>
      </c>
      <c r="M1011" t="b">
        <v>1</v>
      </c>
      <c r="N1011" t="s">
        <v>131</v>
      </c>
      <c r="Q1011" t="b">
        <v>0</v>
      </c>
      <c r="S1011" t="str">
        <f>"9780310284703"</f>
        <v>9780310284703</v>
      </c>
      <c r="T1011" t="str">
        <f>"9780310321736"</f>
        <v>9780310321736</v>
      </c>
      <c r="U1011" t="b">
        <v>0</v>
      </c>
      <c r="W1011" t="b">
        <v>0</v>
      </c>
    </row>
    <row r="1012" spans="1:23" x14ac:dyDescent="0.3">
      <c r="A1012">
        <v>2982391</v>
      </c>
      <c r="B1012">
        <v>7.07</v>
      </c>
      <c r="C1012" t="s">
        <v>2235</v>
      </c>
      <c r="E1012" t="s">
        <v>23</v>
      </c>
      <c r="F1012" t="s">
        <v>44</v>
      </c>
      <c r="G1012">
        <v>2011</v>
      </c>
      <c r="H1012" t="s">
        <v>1384</v>
      </c>
      <c r="K1012" t="s">
        <v>25</v>
      </c>
      <c r="L1012" t="s">
        <v>30</v>
      </c>
      <c r="M1012" t="b">
        <v>1</v>
      </c>
      <c r="N1012" t="s">
        <v>44</v>
      </c>
      <c r="Q1012" t="b">
        <v>0</v>
      </c>
      <c r="T1012" t="str">
        <f>"9780310442349"</f>
        <v>9780310442349</v>
      </c>
      <c r="U1012" t="b">
        <v>0</v>
      </c>
      <c r="W1012" t="b">
        <v>0</v>
      </c>
    </row>
    <row r="1013" spans="1:23" x14ac:dyDescent="0.3">
      <c r="A1013">
        <v>2982390</v>
      </c>
      <c r="B1013">
        <v>42.61</v>
      </c>
      <c r="C1013" t="s">
        <v>2236</v>
      </c>
      <c r="E1013" t="s">
        <v>23</v>
      </c>
      <c r="F1013" t="s">
        <v>44</v>
      </c>
      <c r="G1013">
        <v>2012</v>
      </c>
      <c r="H1013" t="s">
        <v>2232</v>
      </c>
      <c r="K1013" t="s">
        <v>25</v>
      </c>
      <c r="L1013" t="s">
        <v>30</v>
      </c>
      <c r="M1013" t="b">
        <v>1</v>
      </c>
      <c r="N1013" t="s">
        <v>44</v>
      </c>
      <c r="Q1013" t="b">
        <v>0</v>
      </c>
      <c r="T1013" t="str">
        <f>"9780310410881"</f>
        <v>9780310410881</v>
      </c>
      <c r="U1013" t="b">
        <v>0</v>
      </c>
      <c r="W1013" t="b">
        <v>0</v>
      </c>
    </row>
    <row r="1014" spans="1:23" x14ac:dyDescent="0.3">
      <c r="A1014">
        <v>2982382</v>
      </c>
      <c r="B1014">
        <v>27.57</v>
      </c>
      <c r="C1014" t="s">
        <v>2237</v>
      </c>
      <c r="E1014" t="s">
        <v>23</v>
      </c>
      <c r="F1014" t="s">
        <v>44</v>
      </c>
      <c r="G1014">
        <v>2009</v>
      </c>
      <c r="H1014" t="s">
        <v>66</v>
      </c>
      <c r="K1014" t="s">
        <v>25</v>
      </c>
      <c r="L1014" t="s">
        <v>30</v>
      </c>
      <c r="M1014" t="b">
        <v>1</v>
      </c>
      <c r="N1014" t="s">
        <v>1615</v>
      </c>
      <c r="Q1014" t="b">
        <v>1</v>
      </c>
      <c r="S1014" t="str">
        <f>"9780310251149"</f>
        <v>9780310251149</v>
      </c>
      <c r="T1014" t="str">
        <f>"9780310565765"</f>
        <v>9780310565765</v>
      </c>
      <c r="U1014" t="b">
        <v>0</v>
      </c>
      <c r="W1014" t="b">
        <v>0</v>
      </c>
    </row>
    <row r="1015" spans="1:23" x14ac:dyDescent="0.3">
      <c r="A1015">
        <v>2982381</v>
      </c>
      <c r="B1015">
        <v>206.97</v>
      </c>
      <c r="C1015" t="s">
        <v>2238</v>
      </c>
      <c r="D1015" t="s">
        <v>2239</v>
      </c>
      <c r="E1015" t="s">
        <v>23</v>
      </c>
      <c r="F1015" t="s">
        <v>44</v>
      </c>
      <c r="G1015">
        <v>2019</v>
      </c>
      <c r="H1015" t="s">
        <v>2240</v>
      </c>
      <c r="K1015" t="s">
        <v>25</v>
      </c>
      <c r="L1015" t="s">
        <v>26</v>
      </c>
      <c r="M1015" t="b">
        <v>1</v>
      </c>
      <c r="N1015" t="s">
        <v>44</v>
      </c>
      <c r="P1015" t="s">
        <v>2241</v>
      </c>
      <c r="Q1015" t="b">
        <v>0</v>
      </c>
      <c r="S1015" t="str">
        <f>"9780310453420"</f>
        <v>9780310453420</v>
      </c>
      <c r="T1015" t="str">
        <f>"9780310453468"</f>
        <v>9780310453468</v>
      </c>
      <c r="U1015" t="b">
        <v>0</v>
      </c>
      <c r="W1015" t="b">
        <v>0</v>
      </c>
    </row>
    <row r="1016" spans="1:23" x14ac:dyDescent="0.3">
      <c r="A1016">
        <v>2982380</v>
      </c>
      <c r="B1016">
        <v>42.61</v>
      </c>
      <c r="C1016" t="s">
        <v>2242</v>
      </c>
      <c r="D1016" t="s">
        <v>2243</v>
      </c>
      <c r="E1016" t="s">
        <v>23</v>
      </c>
      <c r="F1016" t="s">
        <v>44</v>
      </c>
      <c r="G1016">
        <v>2011</v>
      </c>
      <c r="H1016" t="s">
        <v>1349</v>
      </c>
      <c r="K1016" t="s">
        <v>25</v>
      </c>
      <c r="L1016" t="s">
        <v>30</v>
      </c>
      <c r="M1016" t="b">
        <v>1</v>
      </c>
      <c r="N1016" t="s">
        <v>2244</v>
      </c>
      <c r="Q1016" t="b">
        <v>0</v>
      </c>
      <c r="T1016" t="str">
        <f>"9780310442011"</f>
        <v>9780310442011</v>
      </c>
      <c r="U1016" t="b">
        <v>0</v>
      </c>
      <c r="W1016" t="b">
        <v>0</v>
      </c>
    </row>
    <row r="1017" spans="1:23" x14ac:dyDescent="0.3">
      <c r="A1017">
        <v>2982379</v>
      </c>
      <c r="B1017">
        <v>42.61</v>
      </c>
      <c r="C1017" t="s">
        <v>2245</v>
      </c>
      <c r="D1017" t="s">
        <v>2243</v>
      </c>
      <c r="E1017" t="s">
        <v>23</v>
      </c>
      <c r="F1017" t="s">
        <v>44</v>
      </c>
      <c r="G1017">
        <v>2011</v>
      </c>
      <c r="H1017" t="s">
        <v>1349</v>
      </c>
      <c r="K1017" t="s">
        <v>25</v>
      </c>
      <c r="L1017" t="s">
        <v>30</v>
      </c>
      <c r="M1017" t="b">
        <v>1</v>
      </c>
      <c r="N1017" t="s">
        <v>44</v>
      </c>
      <c r="Q1017" t="b">
        <v>0</v>
      </c>
      <c r="T1017" t="str">
        <f>"9780310440062"</f>
        <v>9780310440062</v>
      </c>
      <c r="U1017" t="b">
        <v>0</v>
      </c>
      <c r="W1017" t="b">
        <v>0</v>
      </c>
    </row>
    <row r="1018" spans="1:23" x14ac:dyDescent="0.3">
      <c r="A1018">
        <v>2982378</v>
      </c>
      <c r="B1018">
        <v>53.27</v>
      </c>
      <c r="C1018" t="s">
        <v>2246</v>
      </c>
      <c r="E1018" t="s">
        <v>23</v>
      </c>
      <c r="F1018" t="s">
        <v>44</v>
      </c>
      <c r="G1018">
        <v>2013</v>
      </c>
      <c r="H1018" t="s">
        <v>2247</v>
      </c>
      <c r="K1018" t="s">
        <v>25</v>
      </c>
      <c r="L1018" t="s">
        <v>30</v>
      </c>
      <c r="M1018" t="b">
        <v>1</v>
      </c>
      <c r="N1018" t="s">
        <v>44</v>
      </c>
      <c r="Q1018" t="b">
        <v>0</v>
      </c>
      <c r="T1018" t="str">
        <f>"9780310442080"</f>
        <v>9780310442080</v>
      </c>
      <c r="U1018" t="b">
        <v>0</v>
      </c>
      <c r="W1018" t="b">
        <v>0</v>
      </c>
    </row>
    <row r="1019" spans="1:23" x14ac:dyDescent="0.3">
      <c r="A1019">
        <v>2982377</v>
      </c>
      <c r="B1019">
        <v>42.61</v>
      </c>
      <c r="C1019" t="s">
        <v>2248</v>
      </c>
      <c r="E1019" t="s">
        <v>23</v>
      </c>
      <c r="F1019" t="s">
        <v>44</v>
      </c>
      <c r="G1019">
        <v>2012</v>
      </c>
      <c r="H1019" t="s">
        <v>58</v>
      </c>
      <c r="K1019" t="s">
        <v>25</v>
      </c>
      <c r="L1019" t="s">
        <v>30</v>
      </c>
      <c r="M1019" t="b">
        <v>1</v>
      </c>
      <c r="N1019" t="s">
        <v>2249</v>
      </c>
      <c r="P1019" t="s">
        <v>2226</v>
      </c>
      <c r="Q1019" t="b">
        <v>0</v>
      </c>
      <c r="T1019" t="str">
        <f>"9780310419105"</f>
        <v>9780310419105</v>
      </c>
      <c r="U1019" t="b">
        <v>0</v>
      </c>
      <c r="W1019" t="b">
        <v>0</v>
      </c>
    </row>
    <row r="1020" spans="1:23" x14ac:dyDescent="0.3">
      <c r="A1020">
        <v>2982376</v>
      </c>
      <c r="B1020">
        <v>42.61</v>
      </c>
      <c r="C1020" t="s">
        <v>2250</v>
      </c>
      <c r="E1020" t="s">
        <v>23</v>
      </c>
      <c r="F1020" t="s">
        <v>44</v>
      </c>
      <c r="G1020">
        <v>2011</v>
      </c>
      <c r="H1020" t="s">
        <v>1238</v>
      </c>
      <c r="I1020" t="s">
        <v>2251</v>
      </c>
      <c r="J1020" t="s">
        <v>2252</v>
      </c>
      <c r="K1020" t="s">
        <v>25</v>
      </c>
      <c r="L1020" t="s">
        <v>30</v>
      </c>
      <c r="M1020" t="b">
        <v>1</v>
      </c>
      <c r="N1020" t="s">
        <v>44</v>
      </c>
      <c r="O1020" t="str">
        <f>"225.5/204"</f>
        <v>225.5/204</v>
      </c>
      <c r="Q1020" t="b">
        <v>0</v>
      </c>
      <c r="T1020" t="str">
        <f>"9780062116369"</f>
        <v>9780062116369</v>
      </c>
      <c r="U1020" t="b">
        <v>0</v>
      </c>
      <c r="W1020" t="b">
        <v>0</v>
      </c>
    </row>
    <row r="1021" spans="1:23" x14ac:dyDescent="0.3">
      <c r="A1021">
        <v>2982375</v>
      </c>
      <c r="B1021">
        <v>8.49</v>
      </c>
      <c r="C1021" t="s">
        <v>2253</v>
      </c>
      <c r="E1021" t="s">
        <v>23</v>
      </c>
      <c r="F1021" t="s">
        <v>44</v>
      </c>
      <c r="G1021">
        <v>2012</v>
      </c>
      <c r="H1021" t="s">
        <v>1384</v>
      </c>
      <c r="K1021" t="s">
        <v>25</v>
      </c>
      <c r="L1021" t="s">
        <v>30</v>
      </c>
      <c r="M1021" t="b">
        <v>1</v>
      </c>
      <c r="N1021" t="s">
        <v>44</v>
      </c>
      <c r="P1021" t="s">
        <v>2226</v>
      </c>
      <c r="Q1021" t="b">
        <v>0</v>
      </c>
      <c r="T1021" t="str">
        <f>"9780310421481"</f>
        <v>9780310421481</v>
      </c>
      <c r="U1021" t="b">
        <v>0</v>
      </c>
      <c r="W1021" t="b">
        <v>0</v>
      </c>
    </row>
    <row r="1022" spans="1:23" x14ac:dyDescent="0.3">
      <c r="A1022">
        <v>2982374</v>
      </c>
      <c r="B1022">
        <v>56.82</v>
      </c>
      <c r="C1022" t="s">
        <v>2254</v>
      </c>
      <c r="E1022" t="s">
        <v>23</v>
      </c>
      <c r="F1022" t="s">
        <v>44</v>
      </c>
      <c r="G1022">
        <v>2012</v>
      </c>
      <c r="H1022" t="s">
        <v>2225</v>
      </c>
      <c r="K1022" t="s">
        <v>25</v>
      </c>
      <c r="L1022" t="s">
        <v>30</v>
      </c>
      <c r="M1022" t="b">
        <v>1</v>
      </c>
      <c r="N1022" t="s">
        <v>44</v>
      </c>
      <c r="P1022" t="s">
        <v>2226</v>
      </c>
      <c r="Q1022" t="b">
        <v>0</v>
      </c>
      <c r="T1022" t="str">
        <f>"9780310413486"</f>
        <v>9780310413486</v>
      </c>
      <c r="U1022" t="b">
        <v>0</v>
      </c>
      <c r="W1022" t="b">
        <v>0</v>
      </c>
    </row>
    <row r="1023" spans="1:23" x14ac:dyDescent="0.3">
      <c r="A1023">
        <v>2982373</v>
      </c>
      <c r="B1023">
        <v>53.27</v>
      </c>
      <c r="C1023" t="s">
        <v>2255</v>
      </c>
      <c r="E1023" t="s">
        <v>23</v>
      </c>
      <c r="F1023" t="s">
        <v>44</v>
      </c>
      <c r="G1023">
        <v>2012</v>
      </c>
      <c r="H1023" t="s">
        <v>2247</v>
      </c>
      <c r="K1023" t="s">
        <v>25</v>
      </c>
      <c r="L1023" t="s">
        <v>30</v>
      </c>
      <c r="M1023" t="b">
        <v>1</v>
      </c>
      <c r="N1023" t="s">
        <v>44</v>
      </c>
      <c r="P1023" t="s">
        <v>2226</v>
      </c>
      <c r="Q1023" t="b">
        <v>0</v>
      </c>
      <c r="T1023" t="str">
        <f>"9780310443414"</f>
        <v>9780310443414</v>
      </c>
      <c r="U1023" t="b">
        <v>0</v>
      </c>
      <c r="W1023" t="b">
        <v>0</v>
      </c>
    </row>
    <row r="1024" spans="1:23" x14ac:dyDescent="0.3">
      <c r="A1024">
        <v>2982372</v>
      </c>
      <c r="B1024">
        <v>189.72</v>
      </c>
      <c r="C1024" t="s">
        <v>2256</v>
      </c>
      <c r="D1024" t="s">
        <v>2257</v>
      </c>
      <c r="E1024" t="s">
        <v>23</v>
      </c>
      <c r="F1024" t="s">
        <v>44</v>
      </c>
      <c r="G1024">
        <v>2016</v>
      </c>
      <c r="H1024" t="s">
        <v>1105</v>
      </c>
      <c r="K1024" t="s">
        <v>25</v>
      </c>
      <c r="L1024" t="s">
        <v>145</v>
      </c>
      <c r="M1024" t="b">
        <v>1</v>
      </c>
      <c r="N1024" t="s">
        <v>44</v>
      </c>
      <c r="Q1024" t="b">
        <v>0</v>
      </c>
      <c r="S1024" t="str">
        <f>"9780310431589"</f>
        <v>9780310431589</v>
      </c>
      <c r="T1024" t="str">
        <f>"9780310431671"</f>
        <v>9780310431671</v>
      </c>
      <c r="U1024" t="b">
        <v>0</v>
      </c>
      <c r="W1024" t="b">
        <v>0</v>
      </c>
    </row>
    <row r="1025" spans="1:23" x14ac:dyDescent="0.3">
      <c r="A1025">
        <v>2982371</v>
      </c>
      <c r="B1025">
        <v>127.89</v>
      </c>
      <c r="C1025" t="s">
        <v>2258</v>
      </c>
      <c r="E1025" t="s">
        <v>23</v>
      </c>
      <c r="F1025" t="s">
        <v>44</v>
      </c>
      <c r="G1025">
        <v>2016</v>
      </c>
      <c r="H1025" t="s">
        <v>1105</v>
      </c>
      <c r="K1025" t="s">
        <v>25</v>
      </c>
      <c r="L1025" t="s">
        <v>26</v>
      </c>
      <c r="M1025" t="b">
        <v>1</v>
      </c>
      <c r="N1025" t="s">
        <v>44</v>
      </c>
      <c r="Q1025" t="b">
        <v>0</v>
      </c>
      <c r="T1025" t="str">
        <f>"9780310433606"</f>
        <v>9780310433606</v>
      </c>
      <c r="U1025" t="b">
        <v>0</v>
      </c>
      <c r="W1025" t="b">
        <v>0</v>
      </c>
    </row>
    <row r="1026" spans="1:23" x14ac:dyDescent="0.3">
      <c r="A1026">
        <v>2982370</v>
      </c>
      <c r="B1026">
        <v>58.62</v>
      </c>
      <c r="C1026" t="s">
        <v>2259</v>
      </c>
      <c r="D1026" t="s">
        <v>2231</v>
      </c>
      <c r="E1026" t="s">
        <v>23</v>
      </c>
      <c r="F1026" t="s">
        <v>44</v>
      </c>
      <c r="G1026">
        <v>2015</v>
      </c>
      <c r="H1026" t="s">
        <v>2232</v>
      </c>
      <c r="K1026" t="s">
        <v>25</v>
      </c>
      <c r="L1026" t="s">
        <v>30</v>
      </c>
      <c r="M1026" t="b">
        <v>1</v>
      </c>
      <c r="N1026" t="s">
        <v>44</v>
      </c>
      <c r="Q1026" t="b">
        <v>0</v>
      </c>
      <c r="S1026" t="str">
        <f>"9780310745617"</f>
        <v>9780310745617</v>
      </c>
      <c r="T1026" t="str">
        <f>"9780310745891"</f>
        <v>9780310745891</v>
      </c>
      <c r="U1026" t="b">
        <v>0</v>
      </c>
      <c r="W1026" t="b">
        <v>0</v>
      </c>
    </row>
    <row r="1027" spans="1:23" x14ac:dyDescent="0.3">
      <c r="A1027">
        <v>2982369</v>
      </c>
      <c r="B1027">
        <v>13.77</v>
      </c>
      <c r="C1027" t="s">
        <v>2260</v>
      </c>
      <c r="E1027" t="s">
        <v>23</v>
      </c>
      <c r="F1027" t="s">
        <v>44</v>
      </c>
      <c r="G1027">
        <v>2012</v>
      </c>
      <c r="H1027" t="s">
        <v>381</v>
      </c>
      <c r="K1027" t="s">
        <v>25</v>
      </c>
      <c r="L1027" t="s">
        <v>30</v>
      </c>
      <c r="M1027" t="b">
        <v>1</v>
      </c>
      <c r="N1027" t="s">
        <v>2261</v>
      </c>
      <c r="P1027" t="s">
        <v>2226</v>
      </c>
      <c r="Q1027" t="b">
        <v>0</v>
      </c>
      <c r="S1027" t="str">
        <f>"9780310419136"</f>
        <v>9780310419136</v>
      </c>
      <c r="T1027" t="str">
        <f>"9780310419143"</f>
        <v>9780310419143</v>
      </c>
      <c r="U1027" t="b">
        <v>0</v>
      </c>
      <c r="W1027" t="b">
        <v>0</v>
      </c>
    </row>
    <row r="1028" spans="1:23" x14ac:dyDescent="0.3">
      <c r="A1028">
        <v>2982368</v>
      </c>
      <c r="B1028">
        <v>81.7</v>
      </c>
      <c r="C1028" t="s">
        <v>2262</v>
      </c>
      <c r="E1028" t="s">
        <v>23</v>
      </c>
      <c r="F1028" t="s">
        <v>44</v>
      </c>
      <c r="G1028">
        <v>2012</v>
      </c>
      <c r="H1028" t="s">
        <v>748</v>
      </c>
      <c r="K1028" t="s">
        <v>25</v>
      </c>
      <c r="L1028" t="s">
        <v>30</v>
      </c>
      <c r="M1028" t="b">
        <v>1</v>
      </c>
      <c r="N1028" t="s">
        <v>44</v>
      </c>
      <c r="Q1028" t="b">
        <v>0</v>
      </c>
      <c r="T1028" t="str">
        <f>"9780310410898"</f>
        <v>9780310410898</v>
      </c>
      <c r="U1028" t="b">
        <v>0</v>
      </c>
      <c r="W1028" t="b">
        <v>0</v>
      </c>
    </row>
    <row r="1029" spans="1:23" x14ac:dyDescent="0.3">
      <c r="A1029">
        <v>2982367</v>
      </c>
      <c r="B1029">
        <v>35.5</v>
      </c>
      <c r="C1029" t="s">
        <v>2263</v>
      </c>
      <c r="E1029" t="s">
        <v>23</v>
      </c>
      <c r="F1029" t="s">
        <v>44</v>
      </c>
      <c r="G1029">
        <v>2012</v>
      </c>
      <c r="H1029" t="s">
        <v>2225</v>
      </c>
      <c r="K1029" t="s">
        <v>25</v>
      </c>
      <c r="L1029" t="s">
        <v>30</v>
      </c>
      <c r="M1029" t="b">
        <v>1</v>
      </c>
      <c r="N1029" t="s">
        <v>44</v>
      </c>
      <c r="P1029" t="s">
        <v>2226</v>
      </c>
      <c r="Q1029" t="b">
        <v>0</v>
      </c>
      <c r="T1029" t="str">
        <f>"9780310413493"</f>
        <v>9780310413493</v>
      </c>
      <c r="U1029" t="b">
        <v>0</v>
      </c>
      <c r="W1029" t="b">
        <v>0</v>
      </c>
    </row>
    <row r="1030" spans="1:23" x14ac:dyDescent="0.3">
      <c r="A1030">
        <v>2982366</v>
      </c>
      <c r="B1030">
        <v>127.89</v>
      </c>
      <c r="C1030" t="s">
        <v>2264</v>
      </c>
      <c r="D1030" t="s">
        <v>2265</v>
      </c>
      <c r="E1030" t="s">
        <v>23</v>
      </c>
      <c r="F1030" t="s">
        <v>44</v>
      </c>
      <c r="G1030">
        <v>2016</v>
      </c>
      <c r="H1030" t="s">
        <v>1349</v>
      </c>
      <c r="K1030" t="s">
        <v>25</v>
      </c>
      <c r="L1030" t="s">
        <v>26</v>
      </c>
      <c r="M1030" t="b">
        <v>1</v>
      </c>
      <c r="N1030" t="s">
        <v>44</v>
      </c>
      <c r="P1030" t="s">
        <v>2241</v>
      </c>
      <c r="Q1030" t="b">
        <v>0</v>
      </c>
      <c r="T1030" t="str">
        <f>"9780310444282"</f>
        <v>9780310444282</v>
      </c>
      <c r="U1030" t="b">
        <v>0</v>
      </c>
      <c r="W1030" t="b">
        <v>0</v>
      </c>
    </row>
    <row r="1031" spans="1:23" x14ac:dyDescent="0.3">
      <c r="A1031">
        <v>2982365</v>
      </c>
      <c r="B1031">
        <v>35.5</v>
      </c>
      <c r="C1031" t="s">
        <v>1316</v>
      </c>
      <c r="D1031" t="s">
        <v>2266</v>
      </c>
      <c r="E1031" t="s">
        <v>23</v>
      </c>
      <c r="F1031" t="s">
        <v>44</v>
      </c>
      <c r="G1031">
        <v>2011</v>
      </c>
      <c r="H1031" t="s">
        <v>1349</v>
      </c>
      <c r="K1031" t="s">
        <v>25</v>
      </c>
      <c r="L1031" t="s">
        <v>26</v>
      </c>
      <c r="M1031" t="b">
        <v>1</v>
      </c>
      <c r="N1031" t="s">
        <v>44</v>
      </c>
      <c r="Q1031" t="b">
        <v>0</v>
      </c>
      <c r="S1031" t="str">
        <f>"9780310950974"</f>
        <v>9780310950974</v>
      </c>
      <c r="T1031" t="str">
        <f>"9780310421726"</f>
        <v>9780310421726</v>
      </c>
      <c r="U1031" t="b">
        <v>0</v>
      </c>
      <c r="W1031" t="b">
        <v>0</v>
      </c>
    </row>
    <row r="1032" spans="1:23" x14ac:dyDescent="0.3">
      <c r="A1032">
        <v>2982364</v>
      </c>
      <c r="B1032">
        <v>56.82</v>
      </c>
      <c r="C1032" t="s">
        <v>2267</v>
      </c>
      <c r="D1032" t="s">
        <v>2268</v>
      </c>
      <c r="E1032" t="s">
        <v>23</v>
      </c>
      <c r="F1032" t="s">
        <v>44</v>
      </c>
      <c r="G1032">
        <v>2009</v>
      </c>
      <c r="H1032" t="s">
        <v>99</v>
      </c>
      <c r="K1032" t="s">
        <v>25</v>
      </c>
      <c r="L1032" t="s">
        <v>30</v>
      </c>
      <c r="M1032" t="b">
        <v>1</v>
      </c>
      <c r="N1032" t="s">
        <v>2269</v>
      </c>
      <c r="Q1032" t="b">
        <v>0</v>
      </c>
      <c r="T1032" t="str">
        <f>"9780310565963"</f>
        <v>9780310565963</v>
      </c>
      <c r="U1032" t="b">
        <v>0</v>
      </c>
      <c r="W1032" t="b">
        <v>0</v>
      </c>
    </row>
    <row r="1033" spans="1:23" x14ac:dyDescent="0.3">
      <c r="A1033">
        <v>2982363</v>
      </c>
      <c r="B1033">
        <v>10.32</v>
      </c>
      <c r="C1033" t="s">
        <v>2270</v>
      </c>
      <c r="D1033" t="s">
        <v>1314</v>
      </c>
      <c r="E1033" t="s">
        <v>23</v>
      </c>
      <c r="F1033" t="s">
        <v>44</v>
      </c>
      <c r="G1033">
        <v>2011</v>
      </c>
      <c r="H1033" t="s">
        <v>1384</v>
      </c>
      <c r="K1033" t="s">
        <v>25</v>
      </c>
      <c r="L1033" t="s">
        <v>30</v>
      </c>
      <c r="M1033" t="b">
        <v>1</v>
      </c>
      <c r="N1033" t="s">
        <v>44</v>
      </c>
      <c r="P1033" t="s">
        <v>1316</v>
      </c>
      <c r="Q1033" t="b">
        <v>0</v>
      </c>
      <c r="S1033" t="str">
        <f>"9780310440840"</f>
        <v>9780310440840</v>
      </c>
      <c r="T1033" t="str">
        <f>"9780310440871"</f>
        <v>9780310440871</v>
      </c>
      <c r="U1033" t="b">
        <v>0</v>
      </c>
      <c r="W1033" t="b">
        <v>0</v>
      </c>
    </row>
    <row r="1034" spans="1:23" x14ac:dyDescent="0.3">
      <c r="A1034">
        <v>2982362</v>
      </c>
      <c r="B1034">
        <v>99.46</v>
      </c>
      <c r="C1034" t="s">
        <v>2271</v>
      </c>
      <c r="D1034" t="s">
        <v>2265</v>
      </c>
      <c r="E1034" t="s">
        <v>23</v>
      </c>
      <c r="F1034" t="s">
        <v>44</v>
      </c>
      <c r="G1034">
        <v>2018</v>
      </c>
      <c r="H1034" t="s">
        <v>863</v>
      </c>
      <c r="K1034" t="s">
        <v>25</v>
      </c>
      <c r="L1034" t="s">
        <v>26</v>
      </c>
      <c r="M1034" t="b">
        <v>1</v>
      </c>
      <c r="N1034" t="s">
        <v>44</v>
      </c>
      <c r="P1034" t="s">
        <v>2241</v>
      </c>
      <c r="Q1034" t="b">
        <v>0</v>
      </c>
      <c r="T1034" t="str">
        <f>"9780310761297"</f>
        <v>9780310761297</v>
      </c>
      <c r="U1034" t="b">
        <v>0</v>
      </c>
      <c r="W1034" t="b">
        <v>0</v>
      </c>
    </row>
    <row r="1035" spans="1:23" x14ac:dyDescent="0.3">
      <c r="A1035">
        <v>2982361</v>
      </c>
      <c r="B1035">
        <v>17.73</v>
      </c>
      <c r="C1035" t="s">
        <v>2272</v>
      </c>
      <c r="E1035" t="s">
        <v>23</v>
      </c>
      <c r="F1035" t="s">
        <v>44</v>
      </c>
      <c r="G1035">
        <v>2011</v>
      </c>
      <c r="H1035" t="s">
        <v>1384</v>
      </c>
      <c r="K1035" t="s">
        <v>25</v>
      </c>
      <c r="L1035" t="s">
        <v>30</v>
      </c>
      <c r="M1035" t="b">
        <v>1</v>
      </c>
      <c r="N1035" t="s">
        <v>44</v>
      </c>
      <c r="Q1035" t="b">
        <v>0</v>
      </c>
      <c r="T1035" t="str">
        <f>"9780310441823"</f>
        <v>9780310441823</v>
      </c>
      <c r="U1035" t="b">
        <v>0</v>
      </c>
      <c r="W1035" t="b">
        <v>0</v>
      </c>
    </row>
    <row r="1036" spans="1:23" x14ac:dyDescent="0.3">
      <c r="A1036">
        <v>2982360</v>
      </c>
      <c r="B1036">
        <v>65.52</v>
      </c>
      <c r="C1036" t="s">
        <v>2273</v>
      </c>
      <c r="D1036" t="s">
        <v>2274</v>
      </c>
      <c r="E1036" t="s">
        <v>23</v>
      </c>
      <c r="F1036" t="s">
        <v>44</v>
      </c>
      <c r="G1036">
        <v>2016</v>
      </c>
      <c r="H1036" t="s">
        <v>58</v>
      </c>
      <c r="K1036" t="s">
        <v>25</v>
      </c>
      <c r="L1036" t="s">
        <v>26</v>
      </c>
      <c r="M1036" t="b">
        <v>1</v>
      </c>
      <c r="N1036" t="s">
        <v>131</v>
      </c>
      <c r="Q1036" t="b">
        <v>0</v>
      </c>
      <c r="S1036" t="str">
        <f>"9780310351399"</f>
        <v>9780310351399</v>
      </c>
      <c r="T1036" t="str">
        <f>"9780310344858"</f>
        <v>9780310344858</v>
      </c>
      <c r="U1036" t="b">
        <v>0</v>
      </c>
      <c r="W1036" t="b">
        <v>0</v>
      </c>
    </row>
    <row r="1037" spans="1:23" x14ac:dyDescent="0.3">
      <c r="A1037">
        <v>2982358</v>
      </c>
      <c r="B1037">
        <v>35.5</v>
      </c>
      <c r="C1037" t="s">
        <v>2275</v>
      </c>
      <c r="D1037" t="s">
        <v>2276</v>
      </c>
      <c r="E1037" t="s">
        <v>23</v>
      </c>
      <c r="F1037" t="s">
        <v>44</v>
      </c>
      <c r="G1037">
        <v>2011</v>
      </c>
      <c r="H1037" t="s">
        <v>1349</v>
      </c>
      <c r="K1037" t="s">
        <v>25</v>
      </c>
      <c r="L1037" t="s">
        <v>30</v>
      </c>
      <c r="M1037" t="b">
        <v>1</v>
      </c>
      <c r="N1037" t="s">
        <v>44</v>
      </c>
      <c r="Q1037" t="b">
        <v>0</v>
      </c>
      <c r="T1037" t="str">
        <f>"9780310440079"</f>
        <v>9780310440079</v>
      </c>
      <c r="U1037" t="b">
        <v>0</v>
      </c>
      <c r="W1037" t="b">
        <v>0</v>
      </c>
    </row>
    <row r="1038" spans="1:23" x14ac:dyDescent="0.3">
      <c r="A1038">
        <v>2982357</v>
      </c>
      <c r="B1038">
        <v>42.61</v>
      </c>
      <c r="C1038" t="s">
        <v>2277</v>
      </c>
      <c r="E1038" t="s">
        <v>23</v>
      </c>
      <c r="F1038" t="s">
        <v>44</v>
      </c>
      <c r="G1038">
        <v>2008</v>
      </c>
      <c r="H1038" t="s">
        <v>99</v>
      </c>
      <c r="I1038" t="s">
        <v>2278</v>
      </c>
      <c r="J1038" t="s">
        <v>2279</v>
      </c>
      <c r="K1038" t="s">
        <v>25</v>
      </c>
      <c r="L1038" t="s">
        <v>30</v>
      </c>
      <c r="M1038" t="b">
        <v>1</v>
      </c>
      <c r="N1038" t="s">
        <v>2269</v>
      </c>
      <c r="O1038" t="str">
        <f>"248.86"</f>
        <v>248.86</v>
      </c>
      <c r="Q1038" t="b">
        <v>0</v>
      </c>
      <c r="T1038" t="str">
        <f>"9780310867074"</f>
        <v>9780310867074</v>
      </c>
      <c r="U1038" t="b">
        <v>0</v>
      </c>
      <c r="W1038" t="b">
        <v>0</v>
      </c>
    </row>
    <row r="1039" spans="1:23" x14ac:dyDescent="0.3">
      <c r="A1039">
        <v>2982356</v>
      </c>
      <c r="B1039">
        <v>137.97</v>
      </c>
      <c r="C1039" t="s">
        <v>2280</v>
      </c>
      <c r="E1039" t="s">
        <v>23</v>
      </c>
      <c r="F1039" t="s">
        <v>44</v>
      </c>
      <c r="G1039">
        <v>2012</v>
      </c>
      <c r="H1039" t="s">
        <v>2247</v>
      </c>
      <c r="K1039" t="s">
        <v>25</v>
      </c>
      <c r="L1039" t="s">
        <v>30</v>
      </c>
      <c r="M1039" t="b">
        <v>1</v>
      </c>
      <c r="N1039" t="s">
        <v>2249</v>
      </c>
      <c r="Q1039" t="b">
        <v>0</v>
      </c>
      <c r="S1039" t="str">
        <f>"9780310437659"</f>
        <v>9780310437659</v>
      </c>
      <c r="T1039" t="str">
        <f>"9780310419082"</f>
        <v>9780310419082</v>
      </c>
      <c r="U1039" t="b">
        <v>0</v>
      </c>
      <c r="W1039" t="b">
        <v>0</v>
      </c>
    </row>
    <row r="1040" spans="1:23" x14ac:dyDescent="0.3">
      <c r="A1040">
        <v>2982355</v>
      </c>
      <c r="B1040">
        <v>68.97</v>
      </c>
      <c r="C1040" t="s">
        <v>2281</v>
      </c>
      <c r="E1040" t="s">
        <v>23</v>
      </c>
      <c r="F1040" t="s">
        <v>44</v>
      </c>
      <c r="G1040">
        <v>2008</v>
      </c>
      <c r="H1040" t="s">
        <v>58</v>
      </c>
      <c r="K1040" t="s">
        <v>25</v>
      </c>
      <c r="L1040" t="s">
        <v>30</v>
      </c>
      <c r="M1040" t="b">
        <v>1</v>
      </c>
      <c r="N1040" t="s">
        <v>2269</v>
      </c>
      <c r="Q1040" t="b">
        <v>0</v>
      </c>
      <c r="S1040" t="str">
        <f>"9780310245650"</f>
        <v>9780310245650</v>
      </c>
      <c r="T1040" t="str">
        <f>"9780310296171"</f>
        <v>9780310296171</v>
      </c>
      <c r="U1040" t="b">
        <v>0</v>
      </c>
      <c r="W1040" t="b">
        <v>0</v>
      </c>
    </row>
    <row r="1041" spans="1:23" x14ac:dyDescent="0.3">
      <c r="A1041">
        <v>2982354</v>
      </c>
      <c r="B1041">
        <v>42.61</v>
      </c>
      <c r="C1041" t="s">
        <v>2282</v>
      </c>
      <c r="E1041" t="s">
        <v>23</v>
      </c>
      <c r="F1041" t="s">
        <v>44</v>
      </c>
      <c r="G1041">
        <v>2011</v>
      </c>
      <c r="H1041" t="s">
        <v>1349</v>
      </c>
      <c r="K1041" t="s">
        <v>25</v>
      </c>
      <c r="L1041" t="s">
        <v>30</v>
      </c>
      <c r="M1041" t="b">
        <v>1</v>
      </c>
      <c r="N1041" t="s">
        <v>44</v>
      </c>
      <c r="Q1041" t="b">
        <v>0</v>
      </c>
      <c r="T1041" t="str">
        <f>"9780310440895"</f>
        <v>9780310440895</v>
      </c>
      <c r="U1041" t="b">
        <v>0</v>
      </c>
      <c r="W1041" t="b">
        <v>0</v>
      </c>
    </row>
    <row r="1042" spans="1:23" x14ac:dyDescent="0.3">
      <c r="A1042">
        <v>2982353</v>
      </c>
      <c r="B1042">
        <v>71.03</v>
      </c>
      <c r="C1042" t="s">
        <v>2283</v>
      </c>
      <c r="E1042" t="s">
        <v>23</v>
      </c>
      <c r="F1042" t="s">
        <v>44</v>
      </c>
      <c r="G1042">
        <v>2012</v>
      </c>
      <c r="H1042" t="s">
        <v>863</v>
      </c>
      <c r="K1042" t="s">
        <v>25</v>
      </c>
      <c r="L1042" t="s">
        <v>30</v>
      </c>
      <c r="M1042" t="b">
        <v>1</v>
      </c>
      <c r="N1042" t="s">
        <v>44</v>
      </c>
      <c r="Q1042" t="b">
        <v>0</v>
      </c>
      <c r="T1042" t="str">
        <f>"9780310410911"</f>
        <v>9780310410911</v>
      </c>
      <c r="U1042" t="b">
        <v>0</v>
      </c>
      <c r="W1042" t="b">
        <v>0</v>
      </c>
    </row>
    <row r="1043" spans="1:23" x14ac:dyDescent="0.3">
      <c r="A1043">
        <v>2982352</v>
      </c>
      <c r="B1043">
        <v>68.97</v>
      </c>
      <c r="C1043" t="s">
        <v>2284</v>
      </c>
      <c r="D1043" t="s">
        <v>2285</v>
      </c>
      <c r="E1043" t="s">
        <v>23</v>
      </c>
      <c r="F1043" t="s">
        <v>44</v>
      </c>
      <c r="G1043">
        <v>2008</v>
      </c>
      <c r="H1043" t="s">
        <v>24</v>
      </c>
      <c r="K1043" t="s">
        <v>25</v>
      </c>
      <c r="L1043" t="s">
        <v>26</v>
      </c>
      <c r="M1043" t="b">
        <v>1</v>
      </c>
      <c r="N1043" t="s">
        <v>2269</v>
      </c>
      <c r="Q1043" t="b">
        <v>0</v>
      </c>
      <c r="S1043" t="str">
        <f>"9780310345091"</f>
        <v>9780310345091</v>
      </c>
      <c r="T1043" t="str">
        <f>"9780310296102"</f>
        <v>9780310296102</v>
      </c>
      <c r="U1043" t="b">
        <v>0</v>
      </c>
      <c r="W1043" t="b">
        <v>0</v>
      </c>
    </row>
    <row r="1044" spans="1:23" x14ac:dyDescent="0.3">
      <c r="A1044">
        <v>2982351</v>
      </c>
      <c r="B1044">
        <v>7.07</v>
      </c>
      <c r="C1044" t="s">
        <v>2286</v>
      </c>
      <c r="E1044" t="s">
        <v>23</v>
      </c>
      <c r="F1044" t="s">
        <v>44</v>
      </c>
      <c r="G1044">
        <v>2011</v>
      </c>
      <c r="H1044" t="s">
        <v>1384</v>
      </c>
      <c r="K1044" t="s">
        <v>25</v>
      </c>
      <c r="L1044" t="s">
        <v>30</v>
      </c>
      <c r="M1044" t="b">
        <v>1</v>
      </c>
      <c r="N1044" t="s">
        <v>44</v>
      </c>
      <c r="Q1044" t="b">
        <v>0</v>
      </c>
      <c r="T1044" t="str">
        <f>"9780310442356"</f>
        <v>9780310442356</v>
      </c>
      <c r="U1044" t="b">
        <v>0</v>
      </c>
      <c r="W1044" t="b">
        <v>0</v>
      </c>
    </row>
    <row r="1045" spans="1:23" x14ac:dyDescent="0.3">
      <c r="A1045">
        <v>2982350</v>
      </c>
      <c r="B1045">
        <v>14.18</v>
      </c>
      <c r="C1045" t="s">
        <v>2287</v>
      </c>
      <c r="D1045" t="s">
        <v>2288</v>
      </c>
      <c r="E1045" t="s">
        <v>23</v>
      </c>
      <c r="F1045" t="s">
        <v>44</v>
      </c>
      <c r="G1045">
        <v>2012</v>
      </c>
      <c r="H1045" t="s">
        <v>1384</v>
      </c>
      <c r="K1045" t="s">
        <v>25</v>
      </c>
      <c r="L1045" t="s">
        <v>30</v>
      </c>
      <c r="M1045" t="b">
        <v>1</v>
      </c>
      <c r="N1045" t="s">
        <v>44</v>
      </c>
      <c r="Q1045" t="b">
        <v>0</v>
      </c>
      <c r="S1045" t="str">
        <f>"9780310442400"</f>
        <v>9780310442400</v>
      </c>
      <c r="T1045" t="str">
        <f>"9780310443193"</f>
        <v>9780310443193</v>
      </c>
      <c r="U1045" t="b">
        <v>0</v>
      </c>
      <c r="W1045" t="b">
        <v>0</v>
      </c>
    </row>
    <row r="1046" spans="1:23" x14ac:dyDescent="0.3">
      <c r="A1046">
        <v>2982349</v>
      </c>
      <c r="B1046">
        <v>42.61</v>
      </c>
      <c r="C1046" t="s">
        <v>2289</v>
      </c>
      <c r="D1046" t="s">
        <v>2290</v>
      </c>
      <c r="E1046" t="s">
        <v>23</v>
      </c>
      <c r="F1046" t="s">
        <v>44</v>
      </c>
      <c r="G1046">
        <v>2012</v>
      </c>
      <c r="H1046" t="s">
        <v>56</v>
      </c>
      <c r="K1046" t="s">
        <v>25</v>
      </c>
      <c r="L1046" t="s">
        <v>30</v>
      </c>
      <c r="M1046" t="b">
        <v>1</v>
      </c>
      <c r="N1046" t="s">
        <v>2291</v>
      </c>
      <c r="P1046" t="s">
        <v>2226</v>
      </c>
      <c r="Q1046" t="b">
        <v>0</v>
      </c>
      <c r="T1046" t="str">
        <f>"9780310419181"</f>
        <v>9780310419181</v>
      </c>
      <c r="U1046" t="b">
        <v>0</v>
      </c>
      <c r="W1046" t="b">
        <v>0</v>
      </c>
    </row>
    <row r="1047" spans="1:23" x14ac:dyDescent="0.3">
      <c r="A1047">
        <v>2982348</v>
      </c>
      <c r="B1047">
        <v>127.89</v>
      </c>
      <c r="C1047" t="s">
        <v>2292</v>
      </c>
      <c r="E1047" t="s">
        <v>23</v>
      </c>
      <c r="F1047" t="s">
        <v>44</v>
      </c>
      <c r="G1047">
        <v>2017</v>
      </c>
      <c r="H1047" t="s">
        <v>1105</v>
      </c>
      <c r="K1047" t="s">
        <v>25</v>
      </c>
      <c r="L1047" t="s">
        <v>26</v>
      </c>
      <c r="M1047" t="b">
        <v>1</v>
      </c>
      <c r="N1047" t="s">
        <v>44</v>
      </c>
      <c r="Q1047" t="b">
        <v>0</v>
      </c>
      <c r="T1047" t="str">
        <f>"9780310444701"</f>
        <v>9780310444701</v>
      </c>
      <c r="U1047" t="b">
        <v>0</v>
      </c>
      <c r="W1047" t="b">
        <v>0</v>
      </c>
    </row>
    <row r="1048" spans="1:23" x14ac:dyDescent="0.3">
      <c r="A1048">
        <v>2982347</v>
      </c>
      <c r="B1048">
        <v>56.82</v>
      </c>
      <c r="C1048" t="s">
        <v>2293</v>
      </c>
      <c r="E1048" t="s">
        <v>23</v>
      </c>
      <c r="F1048" t="s">
        <v>44</v>
      </c>
      <c r="G1048">
        <v>2012</v>
      </c>
      <c r="H1048" t="s">
        <v>2225</v>
      </c>
      <c r="K1048" t="s">
        <v>25</v>
      </c>
      <c r="L1048" t="s">
        <v>30</v>
      </c>
      <c r="M1048" t="b">
        <v>1</v>
      </c>
      <c r="N1048" t="s">
        <v>44</v>
      </c>
      <c r="P1048" t="s">
        <v>2226</v>
      </c>
      <c r="Q1048" t="b">
        <v>0</v>
      </c>
      <c r="T1048" t="str">
        <f>"9780310443407"</f>
        <v>9780310443407</v>
      </c>
      <c r="U1048" t="b">
        <v>0</v>
      </c>
      <c r="W1048" t="b">
        <v>0</v>
      </c>
    </row>
    <row r="1049" spans="1:23" x14ac:dyDescent="0.3">
      <c r="A1049">
        <v>2982346</v>
      </c>
      <c r="B1049">
        <v>46.16</v>
      </c>
      <c r="C1049" t="s">
        <v>2294</v>
      </c>
      <c r="E1049" t="s">
        <v>23</v>
      </c>
      <c r="F1049" t="s">
        <v>44</v>
      </c>
      <c r="G1049">
        <v>2012</v>
      </c>
      <c r="H1049" t="s">
        <v>132</v>
      </c>
      <c r="K1049" t="s">
        <v>25</v>
      </c>
      <c r="L1049" t="s">
        <v>30</v>
      </c>
      <c r="M1049" t="b">
        <v>1</v>
      </c>
      <c r="N1049" t="s">
        <v>44</v>
      </c>
      <c r="P1049" t="s">
        <v>2226</v>
      </c>
      <c r="Q1049" t="b">
        <v>0</v>
      </c>
      <c r="S1049" t="str">
        <f>"9780310729952"</f>
        <v>9780310729952</v>
      </c>
      <c r="T1049" t="str">
        <f>"9780310729969"</f>
        <v>9780310729969</v>
      </c>
      <c r="U1049" t="b">
        <v>0</v>
      </c>
      <c r="W1049" t="b">
        <v>0</v>
      </c>
    </row>
    <row r="1050" spans="1:23" x14ac:dyDescent="0.3">
      <c r="A1050">
        <v>2982345</v>
      </c>
      <c r="B1050">
        <v>113.68</v>
      </c>
      <c r="C1050" t="s">
        <v>2295</v>
      </c>
      <c r="D1050" t="s">
        <v>2296</v>
      </c>
      <c r="E1050" t="s">
        <v>23</v>
      </c>
      <c r="F1050" t="s">
        <v>44</v>
      </c>
      <c r="G1050">
        <v>2013</v>
      </c>
      <c r="H1050" t="s">
        <v>1105</v>
      </c>
      <c r="K1050" t="s">
        <v>25</v>
      </c>
      <c r="L1050" t="s">
        <v>26</v>
      </c>
      <c r="M1050" t="b">
        <v>1</v>
      </c>
      <c r="N1050" t="s">
        <v>2297</v>
      </c>
      <c r="Q1050" t="b">
        <v>0</v>
      </c>
      <c r="T1050" t="str">
        <f>"9780310422969"</f>
        <v>9780310422969</v>
      </c>
      <c r="U1050" t="b">
        <v>0</v>
      </c>
      <c r="W1050" t="b">
        <v>0</v>
      </c>
    </row>
    <row r="1051" spans="1:23" x14ac:dyDescent="0.3">
      <c r="A1051">
        <v>2982337</v>
      </c>
      <c r="B1051">
        <v>55.17</v>
      </c>
      <c r="C1051" t="s">
        <v>2300</v>
      </c>
      <c r="D1051" t="s">
        <v>2301</v>
      </c>
      <c r="E1051" t="s">
        <v>23</v>
      </c>
      <c r="F1051" t="s">
        <v>44</v>
      </c>
      <c r="G1051">
        <v>2009</v>
      </c>
      <c r="H1051" t="s">
        <v>99</v>
      </c>
      <c r="K1051" t="s">
        <v>25</v>
      </c>
      <c r="L1051" t="s">
        <v>26</v>
      </c>
      <c r="M1051" t="b">
        <v>1</v>
      </c>
      <c r="N1051" t="s">
        <v>2146</v>
      </c>
      <c r="Q1051" t="b">
        <v>0</v>
      </c>
      <c r="S1051" t="str">
        <f>"9780310345558"</f>
        <v>9780310345558</v>
      </c>
      <c r="T1051" t="str">
        <f>"9780310867876"</f>
        <v>9780310867876</v>
      </c>
      <c r="U1051" t="b">
        <v>0</v>
      </c>
      <c r="W1051" t="b">
        <v>0</v>
      </c>
    </row>
    <row r="1052" spans="1:23" x14ac:dyDescent="0.3">
      <c r="A1052">
        <v>2982336</v>
      </c>
      <c r="B1052">
        <v>42.61</v>
      </c>
      <c r="C1052" t="s">
        <v>2302</v>
      </c>
      <c r="D1052" t="s">
        <v>2303</v>
      </c>
      <c r="E1052" t="s">
        <v>23</v>
      </c>
      <c r="F1052" t="s">
        <v>44</v>
      </c>
      <c r="G1052">
        <v>2011</v>
      </c>
      <c r="H1052" t="s">
        <v>1349</v>
      </c>
      <c r="K1052" t="s">
        <v>25</v>
      </c>
      <c r="L1052" t="s">
        <v>30</v>
      </c>
      <c r="M1052" t="b">
        <v>1</v>
      </c>
      <c r="N1052" t="s">
        <v>44</v>
      </c>
      <c r="Q1052" t="b">
        <v>0</v>
      </c>
      <c r="T1052" t="str">
        <f>"9780310441960"</f>
        <v>9780310441960</v>
      </c>
      <c r="U1052" t="b">
        <v>0</v>
      </c>
      <c r="W1052" t="b">
        <v>0</v>
      </c>
    </row>
    <row r="1053" spans="1:23" x14ac:dyDescent="0.3">
      <c r="A1053">
        <v>2982335</v>
      </c>
      <c r="B1053">
        <v>79.95</v>
      </c>
      <c r="C1053" t="s">
        <v>2304</v>
      </c>
      <c r="D1053" t="s">
        <v>2305</v>
      </c>
      <c r="E1053" t="s">
        <v>23</v>
      </c>
      <c r="F1053" t="s">
        <v>44</v>
      </c>
      <c r="G1053">
        <v>2013</v>
      </c>
      <c r="H1053" t="s">
        <v>1349</v>
      </c>
      <c r="K1053" t="s">
        <v>25</v>
      </c>
      <c r="L1053" t="s">
        <v>30</v>
      </c>
      <c r="M1053" t="b">
        <v>1</v>
      </c>
      <c r="N1053" t="s">
        <v>44</v>
      </c>
      <c r="Q1053" t="b">
        <v>0</v>
      </c>
      <c r="T1053" t="str">
        <f>"9780310421252"</f>
        <v>9780310421252</v>
      </c>
      <c r="U1053" t="b">
        <v>0</v>
      </c>
      <c r="W1053" t="b">
        <v>0</v>
      </c>
    </row>
    <row r="1054" spans="1:23" x14ac:dyDescent="0.3">
      <c r="A1054">
        <v>2982334</v>
      </c>
      <c r="B1054">
        <v>68.97</v>
      </c>
      <c r="C1054" t="s">
        <v>2306</v>
      </c>
      <c r="D1054" t="s">
        <v>2307</v>
      </c>
      <c r="E1054" t="s">
        <v>23</v>
      </c>
      <c r="F1054" t="s">
        <v>44</v>
      </c>
      <c r="G1054">
        <v>2010</v>
      </c>
      <c r="H1054" t="s">
        <v>2308</v>
      </c>
      <c r="K1054" t="s">
        <v>25</v>
      </c>
      <c r="L1054" t="s">
        <v>30</v>
      </c>
      <c r="M1054" t="b">
        <v>1</v>
      </c>
      <c r="N1054" t="s">
        <v>2309</v>
      </c>
      <c r="Q1054" t="b">
        <v>1</v>
      </c>
      <c r="S1054" t="str">
        <f>"9780310220213"</f>
        <v>9780310220213</v>
      </c>
      <c r="T1054" t="str">
        <f>"9780310871552"</f>
        <v>9780310871552</v>
      </c>
      <c r="U1054" t="b">
        <v>0</v>
      </c>
      <c r="W1054" t="b">
        <v>0</v>
      </c>
    </row>
    <row r="1055" spans="1:23" x14ac:dyDescent="0.3">
      <c r="A1055">
        <v>2982333</v>
      </c>
      <c r="B1055">
        <v>34.47</v>
      </c>
      <c r="C1055" t="s">
        <v>2310</v>
      </c>
      <c r="D1055" t="s">
        <v>2311</v>
      </c>
      <c r="E1055" t="s">
        <v>23</v>
      </c>
      <c r="F1055" t="s">
        <v>44</v>
      </c>
      <c r="G1055">
        <v>2009</v>
      </c>
      <c r="H1055" t="s">
        <v>2079</v>
      </c>
      <c r="K1055" t="s">
        <v>25</v>
      </c>
      <c r="L1055" t="s">
        <v>26</v>
      </c>
      <c r="M1055" t="b">
        <v>1</v>
      </c>
      <c r="N1055" t="s">
        <v>2312</v>
      </c>
      <c r="Q1055" t="b">
        <v>0</v>
      </c>
      <c r="S1055" t="str">
        <f>"9780310283607"</f>
        <v>9780310283607</v>
      </c>
      <c r="T1055" t="str">
        <f>"9780310579038"</f>
        <v>9780310579038</v>
      </c>
      <c r="U1055" t="b">
        <v>0</v>
      </c>
      <c r="W1055" t="b">
        <v>0</v>
      </c>
    </row>
    <row r="1056" spans="1:23" x14ac:dyDescent="0.3">
      <c r="A1056">
        <v>2982332</v>
      </c>
      <c r="B1056">
        <v>60.37</v>
      </c>
      <c r="C1056" t="s">
        <v>2313</v>
      </c>
      <c r="D1056" t="s">
        <v>2314</v>
      </c>
      <c r="E1056" t="s">
        <v>23</v>
      </c>
      <c r="F1056" t="s">
        <v>44</v>
      </c>
      <c r="G1056">
        <v>2012</v>
      </c>
      <c r="H1056" t="s">
        <v>2247</v>
      </c>
      <c r="K1056" t="s">
        <v>25</v>
      </c>
      <c r="L1056" t="s">
        <v>30</v>
      </c>
      <c r="M1056" t="b">
        <v>1</v>
      </c>
      <c r="N1056" t="s">
        <v>44</v>
      </c>
      <c r="Q1056" t="b">
        <v>0</v>
      </c>
      <c r="T1056" t="str">
        <f>"9780310441045"</f>
        <v>9780310441045</v>
      </c>
      <c r="U1056" t="b">
        <v>0</v>
      </c>
      <c r="W1056" t="b">
        <v>0</v>
      </c>
    </row>
    <row r="1057" spans="1:23" x14ac:dyDescent="0.3">
      <c r="A1057">
        <v>2982331</v>
      </c>
      <c r="B1057">
        <v>60.37</v>
      </c>
      <c r="C1057" t="s">
        <v>2315</v>
      </c>
      <c r="D1057" t="s">
        <v>2316</v>
      </c>
      <c r="E1057" t="s">
        <v>23</v>
      </c>
      <c r="F1057" t="s">
        <v>44</v>
      </c>
      <c r="G1057">
        <v>2012</v>
      </c>
      <c r="H1057" t="s">
        <v>2247</v>
      </c>
      <c r="K1057" t="s">
        <v>25</v>
      </c>
      <c r="L1057" t="s">
        <v>30</v>
      </c>
      <c r="M1057" t="b">
        <v>1</v>
      </c>
      <c r="N1057" t="s">
        <v>44</v>
      </c>
      <c r="Q1057" t="b">
        <v>0</v>
      </c>
      <c r="T1057" t="str">
        <f>"9780310440253"</f>
        <v>9780310440253</v>
      </c>
      <c r="U1057" t="b">
        <v>0</v>
      </c>
      <c r="W1057" t="b">
        <v>0</v>
      </c>
    </row>
    <row r="1058" spans="1:23" x14ac:dyDescent="0.3">
      <c r="A1058">
        <v>2982330</v>
      </c>
      <c r="B1058">
        <v>99.46</v>
      </c>
      <c r="C1058" t="s">
        <v>2317</v>
      </c>
      <c r="E1058" t="s">
        <v>23</v>
      </c>
      <c r="F1058" t="s">
        <v>44</v>
      </c>
      <c r="G1058">
        <v>2012</v>
      </c>
      <c r="H1058" t="s">
        <v>1349</v>
      </c>
      <c r="K1058" t="s">
        <v>25</v>
      </c>
      <c r="L1058" t="s">
        <v>30</v>
      </c>
      <c r="M1058" t="b">
        <v>1</v>
      </c>
      <c r="N1058" t="s">
        <v>2244</v>
      </c>
      <c r="Q1058" t="b">
        <v>0</v>
      </c>
      <c r="T1058" t="str">
        <f>"9780310419051"</f>
        <v>9780310419051</v>
      </c>
      <c r="U1058" t="b">
        <v>0</v>
      </c>
      <c r="W1058" t="b">
        <v>0</v>
      </c>
    </row>
    <row r="1059" spans="1:23" x14ac:dyDescent="0.3">
      <c r="A1059">
        <v>2982329</v>
      </c>
      <c r="B1059">
        <v>58.62</v>
      </c>
      <c r="C1059" t="s">
        <v>2318</v>
      </c>
      <c r="D1059" t="s">
        <v>2319</v>
      </c>
      <c r="E1059" t="s">
        <v>23</v>
      </c>
      <c r="F1059" t="s">
        <v>44</v>
      </c>
      <c r="G1059">
        <v>2018</v>
      </c>
      <c r="H1059" t="s">
        <v>99</v>
      </c>
      <c r="K1059" t="s">
        <v>25</v>
      </c>
      <c r="L1059" t="s">
        <v>26</v>
      </c>
      <c r="M1059" t="b">
        <v>1</v>
      </c>
      <c r="N1059" t="s">
        <v>2320</v>
      </c>
      <c r="Q1059" t="b">
        <v>0</v>
      </c>
      <c r="S1059" t="str">
        <f>"9780310350842"</f>
        <v>9780310350842</v>
      </c>
      <c r="T1059" t="str">
        <f>"9780310350859"</f>
        <v>9780310350859</v>
      </c>
      <c r="U1059" t="b">
        <v>0</v>
      </c>
      <c r="W1059" t="b">
        <v>0</v>
      </c>
    </row>
    <row r="1060" spans="1:23" x14ac:dyDescent="0.3">
      <c r="A1060">
        <v>2982328</v>
      </c>
      <c r="B1060">
        <v>7.07</v>
      </c>
      <c r="C1060" t="s">
        <v>2321</v>
      </c>
      <c r="E1060" t="s">
        <v>23</v>
      </c>
      <c r="F1060" t="s">
        <v>44</v>
      </c>
      <c r="G1060">
        <v>2012</v>
      </c>
      <c r="H1060" t="s">
        <v>2322</v>
      </c>
      <c r="K1060" t="s">
        <v>25</v>
      </c>
      <c r="L1060" t="s">
        <v>30</v>
      </c>
      <c r="M1060" t="b">
        <v>1</v>
      </c>
      <c r="N1060" t="s">
        <v>44</v>
      </c>
      <c r="Q1060" t="b">
        <v>0</v>
      </c>
      <c r="T1060" t="str">
        <f>"9780310441939"</f>
        <v>9780310441939</v>
      </c>
      <c r="U1060" t="b">
        <v>0</v>
      </c>
      <c r="W1060" t="b">
        <v>0</v>
      </c>
    </row>
    <row r="1061" spans="1:23" x14ac:dyDescent="0.3">
      <c r="A1061">
        <v>2982327</v>
      </c>
      <c r="B1061">
        <v>55.17</v>
      </c>
      <c r="C1061" t="s">
        <v>2323</v>
      </c>
      <c r="E1061" t="s">
        <v>23</v>
      </c>
      <c r="F1061" t="s">
        <v>44</v>
      </c>
      <c r="G1061">
        <v>2009</v>
      </c>
      <c r="H1061" t="s">
        <v>69</v>
      </c>
      <c r="K1061" t="s">
        <v>25</v>
      </c>
      <c r="L1061" t="s">
        <v>30</v>
      </c>
      <c r="M1061" t="b">
        <v>1</v>
      </c>
      <c r="N1061" t="s">
        <v>2324</v>
      </c>
      <c r="Q1061" t="b">
        <v>0</v>
      </c>
      <c r="S1061" t="str">
        <f>"9780310256564"</f>
        <v>9780310256564</v>
      </c>
      <c r="T1061" t="str">
        <f>"9780310865636"</f>
        <v>9780310865636</v>
      </c>
      <c r="U1061" t="b">
        <v>0</v>
      </c>
      <c r="W1061" t="b">
        <v>0</v>
      </c>
    </row>
    <row r="1062" spans="1:23" x14ac:dyDescent="0.3">
      <c r="A1062">
        <v>2982326</v>
      </c>
      <c r="B1062">
        <v>99.46</v>
      </c>
      <c r="C1062" t="s">
        <v>2325</v>
      </c>
      <c r="D1062" t="s">
        <v>2326</v>
      </c>
      <c r="E1062" t="s">
        <v>23</v>
      </c>
      <c r="F1062" t="s">
        <v>44</v>
      </c>
      <c r="G1062">
        <v>2013</v>
      </c>
      <c r="H1062" t="s">
        <v>2247</v>
      </c>
      <c r="K1062" t="s">
        <v>25</v>
      </c>
      <c r="L1062" t="s">
        <v>30</v>
      </c>
      <c r="M1062" t="b">
        <v>1</v>
      </c>
      <c r="N1062" t="s">
        <v>44</v>
      </c>
      <c r="Q1062" t="b">
        <v>0</v>
      </c>
      <c r="T1062" t="str">
        <f>"9780310422808"</f>
        <v>9780310422808</v>
      </c>
      <c r="U1062" t="b">
        <v>0</v>
      </c>
      <c r="W1062" t="b">
        <v>0</v>
      </c>
    </row>
    <row r="1063" spans="1:23" x14ac:dyDescent="0.3">
      <c r="A1063">
        <v>2982325</v>
      </c>
      <c r="B1063">
        <v>51.72</v>
      </c>
      <c r="C1063" t="s">
        <v>2327</v>
      </c>
      <c r="D1063" t="s">
        <v>2328</v>
      </c>
      <c r="E1063" t="s">
        <v>23</v>
      </c>
      <c r="F1063" t="s">
        <v>44</v>
      </c>
      <c r="G1063">
        <v>2018</v>
      </c>
      <c r="H1063" t="s">
        <v>2329</v>
      </c>
      <c r="K1063" t="s">
        <v>25</v>
      </c>
      <c r="L1063" t="s">
        <v>26</v>
      </c>
      <c r="M1063" t="b">
        <v>1</v>
      </c>
      <c r="N1063" t="s">
        <v>2330</v>
      </c>
      <c r="Q1063" t="b">
        <v>0</v>
      </c>
      <c r="S1063" t="str">
        <f>"9780310351566"</f>
        <v>9780310351566</v>
      </c>
      <c r="T1063" t="str">
        <f>"9780310351573"</f>
        <v>9780310351573</v>
      </c>
      <c r="U1063" t="b">
        <v>0</v>
      </c>
      <c r="W1063" t="b">
        <v>0</v>
      </c>
    </row>
    <row r="1064" spans="1:23" x14ac:dyDescent="0.3">
      <c r="A1064">
        <v>2982324</v>
      </c>
      <c r="B1064">
        <v>44.82</v>
      </c>
      <c r="C1064" t="s">
        <v>2331</v>
      </c>
      <c r="D1064" t="s">
        <v>2332</v>
      </c>
      <c r="E1064" t="s">
        <v>23</v>
      </c>
      <c r="F1064" t="s">
        <v>44</v>
      </c>
      <c r="G1064">
        <v>2010</v>
      </c>
      <c r="H1064" t="s">
        <v>2333</v>
      </c>
      <c r="K1064" t="s">
        <v>25</v>
      </c>
      <c r="L1064" t="s">
        <v>30</v>
      </c>
      <c r="M1064" t="b">
        <v>1</v>
      </c>
      <c r="N1064" t="s">
        <v>2334</v>
      </c>
      <c r="Q1064" t="b">
        <v>0</v>
      </c>
      <c r="S1064" t="str">
        <f>"9780310210900"</f>
        <v>9780310210900</v>
      </c>
      <c r="T1064" t="str">
        <f>"9780310877301"</f>
        <v>9780310877301</v>
      </c>
      <c r="U1064" t="b">
        <v>0</v>
      </c>
      <c r="W1064" t="b">
        <v>0</v>
      </c>
    </row>
    <row r="1065" spans="1:23" x14ac:dyDescent="0.3">
      <c r="A1065">
        <v>2982323</v>
      </c>
      <c r="B1065">
        <v>86.22</v>
      </c>
      <c r="C1065" t="s">
        <v>2335</v>
      </c>
      <c r="D1065" t="s">
        <v>2336</v>
      </c>
      <c r="E1065" t="s">
        <v>23</v>
      </c>
      <c r="F1065" t="s">
        <v>44</v>
      </c>
      <c r="G1065">
        <v>2011</v>
      </c>
      <c r="H1065" t="s">
        <v>2337</v>
      </c>
      <c r="I1065" t="s">
        <v>2338</v>
      </c>
      <c r="J1065" t="s">
        <v>2339</v>
      </c>
      <c r="K1065" t="s">
        <v>25</v>
      </c>
      <c r="L1065" t="s">
        <v>26</v>
      </c>
      <c r="M1065" t="b">
        <v>1</v>
      </c>
      <c r="N1065" t="s">
        <v>2340</v>
      </c>
      <c r="O1065" t="str">
        <f>"225.5/209"</f>
        <v>225.5/209</v>
      </c>
      <c r="Q1065" t="b">
        <v>0</v>
      </c>
      <c r="S1065" t="str">
        <f>"9780062064929"</f>
        <v>9780062064929</v>
      </c>
      <c r="T1065" t="str">
        <f>"9780062064936"</f>
        <v>9780062064936</v>
      </c>
      <c r="U1065" t="b">
        <v>0</v>
      </c>
      <c r="V1065" t="s">
        <v>2341</v>
      </c>
      <c r="W1065" t="b">
        <v>0</v>
      </c>
    </row>
    <row r="1066" spans="1:23" x14ac:dyDescent="0.3">
      <c r="A1066">
        <v>2982322</v>
      </c>
      <c r="B1066">
        <v>44.82</v>
      </c>
      <c r="C1066" t="s">
        <v>2342</v>
      </c>
      <c r="E1066" t="s">
        <v>23</v>
      </c>
      <c r="F1066" t="s">
        <v>44</v>
      </c>
      <c r="G1066">
        <v>2010</v>
      </c>
      <c r="H1066" t="s">
        <v>89</v>
      </c>
      <c r="K1066" t="s">
        <v>25</v>
      </c>
      <c r="L1066" t="s">
        <v>30</v>
      </c>
      <c r="M1066" t="b">
        <v>1</v>
      </c>
      <c r="N1066" t="s">
        <v>709</v>
      </c>
      <c r="Q1066" t="b">
        <v>0</v>
      </c>
      <c r="S1066" t="str">
        <f>"9780310219163"</f>
        <v>9780310219163</v>
      </c>
      <c r="T1066" t="str">
        <f>"9780310877325"</f>
        <v>9780310877325</v>
      </c>
      <c r="U1066" t="b">
        <v>0</v>
      </c>
      <c r="W1066" t="b">
        <v>0</v>
      </c>
    </row>
    <row r="1067" spans="1:23" x14ac:dyDescent="0.3">
      <c r="A1067">
        <v>2982321</v>
      </c>
      <c r="B1067">
        <v>42.61</v>
      </c>
      <c r="C1067" t="s">
        <v>2343</v>
      </c>
      <c r="D1067" t="s">
        <v>2344</v>
      </c>
      <c r="E1067" t="s">
        <v>23</v>
      </c>
      <c r="F1067" t="s">
        <v>44</v>
      </c>
      <c r="G1067">
        <v>2011</v>
      </c>
      <c r="H1067" t="s">
        <v>1349</v>
      </c>
      <c r="K1067" t="s">
        <v>25</v>
      </c>
      <c r="L1067" t="s">
        <v>30</v>
      </c>
      <c r="M1067" t="b">
        <v>1</v>
      </c>
      <c r="N1067" t="s">
        <v>44</v>
      </c>
      <c r="Q1067" t="b">
        <v>0</v>
      </c>
      <c r="T1067" t="str">
        <f>"9780310441953"</f>
        <v>9780310441953</v>
      </c>
      <c r="U1067" t="b">
        <v>0</v>
      </c>
      <c r="W1067" t="b">
        <v>0</v>
      </c>
    </row>
    <row r="1068" spans="1:23" x14ac:dyDescent="0.3">
      <c r="A1068">
        <v>2982320</v>
      </c>
      <c r="B1068">
        <v>17.73</v>
      </c>
      <c r="C1068" t="s">
        <v>2345</v>
      </c>
      <c r="E1068" t="s">
        <v>23</v>
      </c>
      <c r="F1068" t="s">
        <v>44</v>
      </c>
      <c r="G1068">
        <v>2012</v>
      </c>
      <c r="H1068" t="s">
        <v>62</v>
      </c>
      <c r="K1068" t="s">
        <v>25</v>
      </c>
      <c r="L1068" t="s">
        <v>30</v>
      </c>
      <c r="M1068" t="b">
        <v>1</v>
      </c>
      <c r="N1068" t="s">
        <v>2346</v>
      </c>
      <c r="P1068" t="s">
        <v>2347</v>
      </c>
      <c r="Q1068" t="b">
        <v>0</v>
      </c>
      <c r="T1068" t="str">
        <f>"9780310421597"</f>
        <v>9780310421597</v>
      </c>
      <c r="U1068" t="b">
        <v>0</v>
      </c>
      <c r="W1068" t="b">
        <v>0</v>
      </c>
    </row>
    <row r="1069" spans="1:23" x14ac:dyDescent="0.3">
      <c r="A1069">
        <v>2982319</v>
      </c>
      <c r="B1069">
        <v>65.52</v>
      </c>
      <c r="C1069" t="s">
        <v>2348</v>
      </c>
      <c r="D1069" t="s">
        <v>2349</v>
      </c>
      <c r="E1069" t="s">
        <v>23</v>
      </c>
      <c r="F1069" t="s">
        <v>44</v>
      </c>
      <c r="G1069">
        <v>2021</v>
      </c>
      <c r="H1069" t="s">
        <v>99</v>
      </c>
      <c r="K1069" t="s">
        <v>25</v>
      </c>
      <c r="L1069" t="s">
        <v>26</v>
      </c>
      <c r="M1069" t="b">
        <v>1</v>
      </c>
      <c r="N1069" t="s">
        <v>2320</v>
      </c>
      <c r="Q1069" t="b">
        <v>0</v>
      </c>
      <c r="S1069" t="str">
        <f>"9780310350866"</f>
        <v>9780310350866</v>
      </c>
      <c r="T1069" t="str">
        <f>"9780310350903"</f>
        <v>9780310350903</v>
      </c>
      <c r="U1069" t="b">
        <v>0</v>
      </c>
      <c r="W1069" t="b">
        <v>0</v>
      </c>
    </row>
    <row r="1070" spans="1:23" x14ac:dyDescent="0.3">
      <c r="A1070">
        <v>2982318</v>
      </c>
      <c r="B1070">
        <v>63.93</v>
      </c>
      <c r="C1070" t="s">
        <v>2350</v>
      </c>
      <c r="E1070" t="s">
        <v>23</v>
      </c>
      <c r="F1070" t="s">
        <v>44</v>
      </c>
      <c r="G1070">
        <v>2016</v>
      </c>
      <c r="H1070" t="s">
        <v>1105</v>
      </c>
      <c r="K1070" t="s">
        <v>25</v>
      </c>
      <c r="L1070" t="s">
        <v>30</v>
      </c>
      <c r="M1070" t="b">
        <v>1</v>
      </c>
      <c r="N1070" t="s">
        <v>44</v>
      </c>
      <c r="P1070" t="s">
        <v>2351</v>
      </c>
      <c r="Q1070" t="b">
        <v>0</v>
      </c>
      <c r="T1070" t="str">
        <f>"9780310445180"</f>
        <v>9780310445180</v>
      </c>
      <c r="U1070" t="b">
        <v>0</v>
      </c>
      <c r="W1070" t="b">
        <v>0</v>
      </c>
    </row>
    <row r="1071" spans="1:23" x14ac:dyDescent="0.3">
      <c r="A1071">
        <v>2982317</v>
      </c>
      <c r="B1071">
        <v>93.12</v>
      </c>
      <c r="C1071" t="s">
        <v>2352</v>
      </c>
      <c r="D1071" t="s">
        <v>2298</v>
      </c>
      <c r="E1071" t="s">
        <v>23</v>
      </c>
      <c r="F1071" t="s">
        <v>44</v>
      </c>
      <c r="G1071">
        <v>2020</v>
      </c>
      <c r="H1071" t="s">
        <v>58</v>
      </c>
      <c r="K1071" t="s">
        <v>25</v>
      </c>
      <c r="L1071" t="s">
        <v>26</v>
      </c>
      <c r="M1071" t="b">
        <v>1</v>
      </c>
      <c r="N1071" t="s">
        <v>2299</v>
      </c>
      <c r="Q1071" t="b">
        <v>0</v>
      </c>
      <c r="S1071" t="str">
        <f>"9780310358039"</f>
        <v>9780310358039</v>
      </c>
      <c r="T1071" t="str">
        <f>"9780310358046"</f>
        <v>9780310358046</v>
      </c>
      <c r="U1071" t="b">
        <v>0</v>
      </c>
      <c r="W1071" t="b">
        <v>0</v>
      </c>
    </row>
    <row r="1072" spans="1:23" x14ac:dyDescent="0.3">
      <c r="A1072">
        <v>2982316</v>
      </c>
      <c r="B1072">
        <v>68.97</v>
      </c>
      <c r="C1072" t="s">
        <v>2353</v>
      </c>
      <c r="D1072" t="s">
        <v>2354</v>
      </c>
      <c r="E1072" t="s">
        <v>23</v>
      </c>
      <c r="F1072" t="s">
        <v>44</v>
      </c>
      <c r="G1072">
        <v>2020</v>
      </c>
      <c r="H1072" t="s">
        <v>24</v>
      </c>
      <c r="K1072" t="s">
        <v>25</v>
      </c>
      <c r="L1072" t="s">
        <v>26</v>
      </c>
      <c r="M1072" t="b">
        <v>1</v>
      </c>
      <c r="N1072" t="s">
        <v>1045</v>
      </c>
      <c r="Q1072" t="b">
        <v>0</v>
      </c>
      <c r="S1072" t="str">
        <f>"9780310114635"</f>
        <v>9780310114635</v>
      </c>
      <c r="T1072" t="str">
        <f>"9780310114642"</f>
        <v>9780310114642</v>
      </c>
      <c r="U1072" t="b">
        <v>0</v>
      </c>
      <c r="W1072" t="b">
        <v>0</v>
      </c>
    </row>
    <row r="1073" spans="1:23" x14ac:dyDescent="0.3">
      <c r="A1073">
        <v>2982315</v>
      </c>
      <c r="B1073">
        <v>7.07</v>
      </c>
      <c r="C1073" t="s">
        <v>2355</v>
      </c>
      <c r="E1073" t="s">
        <v>23</v>
      </c>
      <c r="F1073" t="s">
        <v>44</v>
      </c>
      <c r="G1073">
        <v>2011</v>
      </c>
      <c r="H1073" t="s">
        <v>1384</v>
      </c>
      <c r="K1073" t="s">
        <v>25</v>
      </c>
      <c r="L1073" t="s">
        <v>30</v>
      </c>
      <c r="M1073" t="b">
        <v>1</v>
      </c>
      <c r="N1073" t="s">
        <v>44</v>
      </c>
      <c r="Q1073" t="b">
        <v>0</v>
      </c>
      <c r="T1073" t="str">
        <f>"9780310442363"</f>
        <v>9780310442363</v>
      </c>
      <c r="U1073" t="b">
        <v>0</v>
      </c>
      <c r="W1073" t="b">
        <v>0</v>
      </c>
    </row>
    <row r="1074" spans="1:23" x14ac:dyDescent="0.3">
      <c r="A1074">
        <v>2982314</v>
      </c>
      <c r="B1074">
        <v>10.63</v>
      </c>
      <c r="C1074" t="s">
        <v>2356</v>
      </c>
      <c r="E1074" t="s">
        <v>23</v>
      </c>
      <c r="F1074" t="s">
        <v>44</v>
      </c>
      <c r="G1074">
        <v>2015</v>
      </c>
      <c r="H1074" t="s">
        <v>863</v>
      </c>
      <c r="K1074" t="s">
        <v>25</v>
      </c>
      <c r="L1074" t="s">
        <v>30</v>
      </c>
      <c r="M1074" t="b">
        <v>1</v>
      </c>
      <c r="N1074" t="s">
        <v>44</v>
      </c>
      <c r="Q1074" t="b">
        <v>0</v>
      </c>
      <c r="T1074" t="str">
        <f>"9780310752462"</f>
        <v>9780310752462</v>
      </c>
      <c r="U1074" t="b">
        <v>0</v>
      </c>
      <c r="W1074" t="b">
        <v>0</v>
      </c>
    </row>
    <row r="1075" spans="1:23" x14ac:dyDescent="0.3">
      <c r="A1075">
        <v>2982313</v>
      </c>
      <c r="B1075">
        <v>100.02</v>
      </c>
      <c r="C1075" t="s">
        <v>2357</v>
      </c>
      <c r="D1075" t="s">
        <v>2358</v>
      </c>
      <c r="E1075" t="s">
        <v>23</v>
      </c>
      <c r="F1075" t="s">
        <v>44</v>
      </c>
      <c r="G1075">
        <v>2021</v>
      </c>
      <c r="H1075" t="s">
        <v>842</v>
      </c>
      <c r="I1075" t="s">
        <v>2359</v>
      </c>
      <c r="J1075" t="s">
        <v>2360</v>
      </c>
      <c r="K1075" t="s">
        <v>25</v>
      </c>
      <c r="L1075" t="s">
        <v>26</v>
      </c>
      <c r="M1075" t="b">
        <v>1</v>
      </c>
      <c r="N1075" t="s">
        <v>2361</v>
      </c>
      <c r="O1075" t="str">
        <f>"253.082"</f>
        <v>253.082</v>
      </c>
      <c r="Q1075" t="b">
        <v>0</v>
      </c>
      <c r="S1075" t="str">
        <f>"9780310119975"</f>
        <v>9780310119975</v>
      </c>
      <c r="T1075" t="str">
        <f>"9780310119982"</f>
        <v>9780310119982</v>
      </c>
      <c r="U1075" t="b">
        <v>0</v>
      </c>
      <c r="W1075" t="b">
        <v>0</v>
      </c>
    </row>
    <row r="1076" spans="1:23" x14ac:dyDescent="0.3">
      <c r="A1076">
        <v>2982312</v>
      </c>
      <c r="B1076">
        <v>172.47</v>
      </c>
      <c r="C1076" t="s">
        <v>2362</v>
      </c>
      <c r="D1076" t="s">
        <v>2363</v>
      </c>
      <c r="E1076" t="s">
        <v>23</v>
      </c>
      <c r="F1076" t="s">
        <v>44</v>
      </c>
      <c r="G1076">
        <v>2019</v>
      </c>
      <c r="H1076" t="s">
        <v>1105</v>
      </c>
      <c r="K1076" t="s">
        <v>25</v>
      </c>
      <c r="L1076" t="s">
        <v>26</v>
      </c>
      <c r="M1076" t="b">
        <v>1</v>
      </c>
      <c r="N1076" t="s">
        <v>44</v>
      </c>
      <c r="Q1076" t="b">
        <v>0</v>
      </c>
      <c r="S1076" t="str">
        <f>"9780310080176"</f>
        <v>9780310080176</v>
      </c>
      <c r="T1076" t="str">
        <f>"9780310080244"</f>
        <v>9780310080244</v>
      </c>
      <c r="U1076" t="b">
        <v>0</v>
      </c>
      <c r="W1076" t="b">
        <v>0</v>
      </c>
    </row>
    <row r="1077" spans="1:23" x14ac:dyDescent="0.3">
      <c r="A1077">
        <v>2982311</v>
      </c>
      <c r="B1077">
        <v>42.61</v>
      </c>
      <c r="C1077" t="s">
        <v>2364</v>
      </c>
      <c r="D1077" t="s">
        <v>2365</v>
      </c>
      <c r="E1077" t="s">
        <v>23</v>
      </c>
      <c r="F1077" t="s">
        <v>44</v>
      </c>
      <c r="G1077">
        <v>2011</v>
      </c>
      <c r="H1077" t="s">
        <v>1349</v>
      </c>
      <c r="K1077" t="s">
        <v>25</v>
      </c>
      <c r="L1077" t="s">
        <v>30</v>
      </c>
      <c r="M1077" t="b">
        <v>1</v>
      </c>
      <c r="N1077" t="s">
        <v>44</v>
      </c>
      <c r="Q1077" t="b">
        <v>0</v>
      </c>
      <c r="T1077" t="str">
        <f>"9780310441922"</f>
        <v>9780310441922</v>
      </c>
      <c r="U1077" t="b">
        <v>0</v>
      </c>
      <c r="W1077" t="b">
        <v>0</v>
      </c>
    </row>
    <row r="1078" spans="1:23" x14ac:dyDescent="0.3">
      <c r="A1078">
        <v>2982310</v>
      </c>
      <c r="B1078">
        <v>55.17</v>
      </c>
      <c r="C1078" t="s">
        <v>2366</v>
      </c>
      <c r="D1078" t="s">
        <v>2367</v>
      </c>
      <c r="E1078" t="s">
        <v>23</v>
      </c>
      <c r="F1078" t="s">
        <v>44</v>
      </c>
      <c r="G1078">
        <v>2010</v>
      </c>
      <c r="H1078" t="s">
        <v>759</v>
      </c>
      <c r="K1078" t="s">
        <v>25</v>
      </c>
      <c r="L1078" t="s">
        <v>30</v>
      </c>
      <c r="M1078" t="b">
        <v>1</v>
      </c>
      <c r="N1078" t="s">
        <v>2368</v>
      </c>
      <c r="Q1078" t="b">
        <v>0</v>
      </c>
      <c r="S1078" t="str">
        <f>"9780310277644"</f>
        <v>9780310277644</v>
      </c>
      <c r="T1078" t="str">
        <f>"9780310862215"</f>
        <v>9780310862215</v>
      </c>
      <c r="U1078" t="b">
        <v>0</v>
      </c>
      <c r="W1078" t="b">
        <v>0</v>
      </c>
    </row>
    <row r="1079" spans="1:23" x14ac:dyDescent="0.3">
      <c r="A1079">
        <v>2982309</v>
      </c>
      <c r="B1079">
        <v>99.46</v>
      </c>
      <c r="C1079" t="s">
        <v>2369</v>
      </c>
      <c r="D1079" t="s">
        <v>2370</v>
      </c>
      <c r="E1079" t="s">
        <v>23</v>
      </c>
      <c r="F1079" t="s">
        <v>44</v>
      </c>
      <c r="G1079">
        <v>2013</v>
      </c>
      <c r="H1079" t="s">
        <v>2247</v>
      </c>
      <c r="K1079" t="s">
        <v>25</v>
      </c>
      <c r="L1079" t="s">
        <v>26</v>
      </c>
      <c r="M1079" t="b">
        <v>1</v>
      </c>
      <c r="N1079" t="s">
        <v>2371</v>
      </c>
      <c r="Q1079" t="b">
        <v>0</v>
      </c>
      <c r="T1079" t="str">
        <f>"9780310411130"</f>
        <v>9780310411130</v>
      </c>
      <c r="U1079" t="b">
        <v>0</v>
      </c>
      <c r="W1079" t="b">
        <v>0</v>
      </c>
    </row>
    <row r="1080" spans="1:23" x14ac:dyDescent="0.3">
      <c r="A1080">
        <v>2982308</v>
      </c>
      <c r="B1080">
        <v>44.82</v>
      </c>
      <c r="C1080" t="s">
        <v>2372</v>
      </c>
      <c r="E1080" t="s">
        <v>23</v>
      </c>
      <c r="F1080" t="s">
        <v>44</v>
      </c>
      <c r="G1080">
        <v>2009</v>
      </c>
      <c r="H1080" t="s">
        <v>66</v>
      </c>
      <c r="K1080" t="s">
        <v>25</v>
      </c>
      <c r="L1080" t="s">
        <v>30</v>
      </c>
      <c r="M1080" t="b">
        <v>1</v>
      </c>
      <c r="N1080" t="s">
        <v>77</v>
      </c>
      <c r="P1080" t="s">
        <v>2373</v>
      </c>
      <c r="Q1080" t="b">
        <v>1</v>
      </c>
      <c r="S1080" t="str">
        <f>"9780310217602"</f>
        <v>9780310217602</v>
      </c>
      <c r="T1080" t="str">
        <f>"9780310860549"</f>
        <v>9780310860549</v>
      </c>
      <c r="U1080" t="b">
        <v>0</v>
      </c>
      <c r="W1080" t="b">
        <v>0</v>
      </c>
    </row>
    <row r="1081" spans="1:23" x14ac:dyDescent="0.3">
      <c r="A1081">
        <v>2982307</v>
      </c>
      <c r="B1081">
        <v>71.03</v>
      </c>
      <c r="C1081" t="s">
        <v>2374</v>
      </c>
      <c r="D1081" t="s">
        <v>2375</v>
      </c>
      <c r="E1081" t="s">
        <v>23</v>
      </c>
      <c r="F1081" t="s">
        <v>44</v>
      </c>
      <c r="G1081">
        <v>2015</v>
      </c>
      <c r="H1081" t="s">
        <v>1105</v>
      </c>
      <c r="K1081" t="s">
        <v>25</v>
      </c>
      <c r="L1081" t="s">
        <v>30</v>
      </c>
      <c r="M1081" t="b">
        <v>1</v>
      </c>
      <c r="N1081" t="s">
        <v>44</v>
      </c>
      <c r="Q1081" t="b">
        <v>0</v>
      </c>
      <c r="T1081" t="str">
        <f>"9780310438724"</f>
        <v>9780310438724</v>
      </c>
      <c r="U1081" t="b">
        <v>0</v>
      </c>
      <c r="W1081" t="b">
        <v>0</v>
      </c>
    </row>
    <row r="1082" spans="1:23" x14ac:dyDescent="0.3">
      <c r="A1082">
        <v>2982306</v>
      </c>
      <c r="B1082">
        <v>65.52</v>
      </c>
      <c r="C1082" t="s">
        <v>2376</v>
      </c>
      <c r="D1082" t="s">
        <v>2377</v>
      </c>
      <c r="E1082" t="s">
        <v>23</v>
      </c>
      <c r="F1082" t="s">
        <v>44</v>
      </c>
      <c r="G1082">
        <v>2020</v>
      </c>
      <c r="H1082" t="s">
        <v>2378</v>
      </c>
      <c r="K1082" t="s">
        <v>25</v>
      </c>
      <c r="L1082" t="s">
        <v>26</v>
      </c>
      <c r="M1082" t="b">
        <v>1</v>
      </c>
      <c r="N1082" t="s">
        <v>1229</v>
      </c>
      <c r="Q1082" t="b">
        <v>0</v>
      </c>
      <c r="S1082" t="str">
        <f>"9780310356851"</f>
        <v>9780310356851</v>
      </c>
      <c r="T1082" t="str">
        <f>"9780310356868"</f>
        <v>9780310356868</v>
      </c>
      <c r="U1082" t="b">
        <v>0</v>
      </c>
      <c r="W1082" t="b">
        <v>0</v>
      </c>
    </row>
    <row r="1083" spans="1:23" x14ac:dyDescent="0.3">
      <c r="A1083">
        <v>2982305</v>
      </c>
      <c r="B1083">
        <v>99.46</v>
      </c>
      <c r="C1083" t="s">
        <v>2379</v>
      </c>
      <c r="E1083" t="s">
        <v>23</v>
      </c>
      <c r="F1083" t="s">
        <v>44</v>
      </c>
      <c r="G1083">
        <v>2013</v>
      </c>
      <c r="H1083" t="s">
        <v>2247</v>
      </c>
      <c r="K1083" t="s">
        <v>25</v>
      </c>
      <c r="L1083" t="s">
        <v>30</v>
      </c>
      <c r="M1083" t="b">
        <v>1</v>
      </c>
      <c r="N1083" t="s">
        <v>2291</v>
      </c>
      <c r="Q1083" t="b">
        <v>0</v>
      </c>
      <c r="T1083" t="str">
        <f>"9780310421030"</f>
        <v>9780310421030</v>
      </c>
      <c r="U1083" t="b">
        <v>0</v>
      </c>
      <c r="W1083" t="b">
        <v>0</v>
      </c>
    </row>
    <row r="1084" spans="1:23" x14ac:dyDescent="0.3">
      <c r="A1084">
        <v>2982304</v>
      </c>
      <c r="B1084">
        <v>17.73</v>
      </c>
      <c r="C1084" t="s">
        <v>2380</v>
      </c>
      <c r="E1084" t="s">
        <v>23</v>
      </c>
      <c r="F1084" t="s">
        <v>44</v>
      </c>
      <c r="G1084">
        <v>2012</v>
      </c>
      <c r="H1084" t="s">
        <v>62</v>
      </c>
      <c r="K1084" t="s">
        <v>25</v>
      </c>
      <c r="L1084" t="s">
        <v>30</v>
      </c>
      <c r="M1084" t="b">
        <v>1</v>
      </c>
      <c r="N1084" t="s">
        <v>2346</v>
      </c>
      <c r="P1084" t="s">
        <v>2347</v>
      </c>
      <c r="Q1084" t="b">
        <v>0</v>
      </c>
      <c r="T1084" t="str">
        <f>"9780310421566"</f>
        <v>9780310421566</v>
      </c>
      <c r="U1084" t="b">
        <v>0</v>
      </c>
      <c r="W1084" t="b">
        <v>0</v>
      </c>
    </row>
    <row r="1085" spans="1:23" x14ac:dyDescent="0.3">
      <c r="A1085">
        <v>2982303</v>
      </c>
      <c r="B1085">
        <v>71.03</v>
      </c>
      <c r="C1085" t="s">
        <v>2381</v>
      </c>
      <c r="D1085" t="s">
        <v>2382</v>
      </c>
      <c r="E1085" t="s">
        <v>23</v>
      </c>
      <c r="F1085" t="s">
        <v>44</v>
      </c>
      <c r="G1085">
        <v>2015</v>
      </c>
      <c r="H1085" t="s">
        <v>1105</v>
      </c>
      <c r="K1085" t="s">
        <v>25</v>
      </c>
      <c r="L1085" t="s">
        <v>26</v>
      </c>
      <c r="M1085" t="b">
        <v>1</v>
      </c>
      <c r="N1085" t="s">
        <v>44</v>
      </c>
      <c r="Q1085" t="b">
        <v>0</v>
      </c>
      <c r="T1085" t="str">
        <f>"9780310422488"</f>
        <v>9780310422488</v>
      </c>
      <c r="U1085" t="b">
        <v>0</v>
      </c>
      <c r="W1085" t="b">
        <v>0</v>
      </c>
    </row>
    <row r="1086" spans="1:23" x14ac:dyDescent="0.3">
      <c r="A1086">
        <v>2982302</v>
      </c>
      <c r="B1086">
        <v>96.57</v>
      </c>
      <c r="C1086" t="s">
        <v>2383</v>
      </c>
      <c r="E1086" t="s">
        <v>23</v>
      </c>
      <c r="F1086" t="s">
        <v>44</v>
      </c>
      <c r="G1086">
        <v>2015</v>
      </c>
      <c r="H1086" t="s">
        <v>2247</v>
      </c>
      <c r="K1086" t="s">
        <v>25</v>
      </c>
      <c r="L1086" t="s">
        <v>30</v>
      </c>
      <c r="M1086" t="b">
        <v>1</v>
      </c>
      <c r="N1086" t="s">
        <v>44</v>
      </c>
      <c r="Q1086" t="b">
        <v>0</v>
      </c>
      <c r="S1086" t="str">
        <f>"9780310440819"</f>
        <v>9780310440819</v>
      </c>
      <c r="T1086" t="str">
        <f>"9780310440994"</f>
        <v>9780310440994</v>
      </c>
      <c r="U1086" t="b">
        <v>0</v>
      </c>
      <c r="W1086" t="b">
        <v>0</v>
      </c>
    </row>
    <row r="1087" spans="1:23" x14ac:dyDescent="0.3">
      <c r="A1087">
        <v>2982301</v>
      </c>
      <c r="B1087">
        <v>71.03</v>
      </c>
      <c r="C1087" t="s">
        <v>2384</v>
      </c>
      <c r="D1087" t="s">
        <v>2385</v>
      </c>
      <c r="E1087" t="s">
        <v>23</v>
      </c>
      <c r="F1087" t="s">
        <v>44</v>
      </c>
      <c r="G1087">
        <v>2015</v>
      </c>
      <c r="H1087" t="s">
        <v>1105</v>
      </c>
      <c r="K1087" t="s">
        <v>25</v>
      </c>
      <c r="L1087" t="s">
        <v>26</v>
      </c>
      <c r="M1087" t="b">
        <v>1</v>
      </c>
      <c r="N1087" t="s">
        <v>44</v>
      </c>
      <c r="Q1087" t="b">
        <v>0</v>
      </c>
      <c r="T1087" t="str">
        <f>"9780310437987"</f>
        <v>9780310437987</v>
      </c>
      <c r="U1087" t="b">
        <v>0</v>
      </c>
      <c r="W1087" t="b">
        <v>0</v>
      </c>
    </row>
    <row r="1088" spans="1:23" x14ac:dyDescent="0.3">
      <c r="A1088">
        <v>2982300</v>
      </c>
      <c r="B1088">
        <v>53.27</v>
      </c>
      <c r="C1088" t="s">
        <v>2386</v>
      </c>
      <c r="E1088" t="s">
        <v>23</v>
      </c>
      <c r="F1088" t="s">
        <v>44</v>
      </c>
      <c r="G1088">
        <v>2012</v>
      </c>
      <c r="H1088" t="s">
        <v>1349</v>
      </c>
      <c r="K1088" t="s">
        <v>25</v>
      </c>
      <c r="L1088" t="s">
        <v>30</v>
      </c>
      <c r="M1088" t="b">
        <v>1</v>
      </c>
      <c r="N1088" t="s">
        <v>44</v>
      </c>
      <c r="Q1088" t="b">
        <v>0</v>
      </c>
      <c r="T1088" t="str">
        <f>"9780310443216"</f>
        <v>9780310443216</v>
      </c>
      <c r="U1088" t="b">
        <v>0</v>
      </c>
      <c r="W1088" t="b">
        <v>0</v>
      </c>
    </row>
    <row r="1089" spans="1:23" x14ac:dyDescent="0.3">
      <c r="A1089">
        <v>2982299</v>
      </c>
      <c r="B1089">
        <v>55.17</v>
      </c>
      <c r="C1089" t="s">
        <v>2387</v>
      </c>
      <c r="D1089" t="s">
        <v>2388</v>
      </c>
      <c r="E1089" t="s">
        <v>23</v>
      </c>
      <c r="F1089" t="s">
        <v>44</v>
      </c>
      <c r="G1089">
        <v>2009</v>
      </c>
      <c r="H1089" t="s">
        <v>58</v>
      </c>
      <c r="K1089" t="s">
        <v>25</v>
      </c>
      <c r="L1089" t="s">
        <v>26</v>
      </c>
      <c r="M1089" t="b">
        <v>1</v>
      </c>
      <c r="N1089" t="s">
        <v>131</v>
      </c>
      <c r="Q1089" t="b">
        <v>0</v>
      </c>
      <c r="S1089" t="str">
        <f>"9780310330103"</f>
        <v>9780310330103</v>
      </c>
      <c r="T1089" t="str">
        <f>"9780310313151"</f>
        <v>9780310313151</v>
      </c>
      <c r="U1089" t="b">
        <v>0</v>
      </c>
      <c r="W1089" t="b">
        <v>0</v>
      </c>
    </row>
    <row r="1090" spans="1:23" x14ac:dyDescent="0.3">
      <c r="A1090">
        <v>2982298</v>
      </c>
      <c r="B1090">
        <v>42.61</v>
      </c>
      <c r="C1090" t="s">
        <v>2389</v>
      </c>
      <c r="D1090" t="s">
        <v>2390</v>
      </c>
      <c r="E1090" t="s">
        <v>23</v>
      </c>
      <c r="F1090" t="s">
        <v>44</v>
      </c>
      <c r="G1090">
        <v>2011</v>
      </c>
      <c r="H1090" t="s">
        <v>1349</v>
      </c>
      <c r="K1090" t="s">
        <v>25</v>
      </c>
      <c r="L1090" t="s">
        <v>30</v>
      </c>
      <c r="M1090" t="b">
        <v>1</v>
      </c>
      <c r="N1090" t="s">
        <v>44</v>
      </c>
      <c r="Q1090" t="b">
        <v>0</v>
      </c>
      <c r="T1090" t="str">
        <f>"9780310441946"</f>
        <v>9780310441946</v>
      </c>
      <c r="U1090" t="b">
        <v>0</v>
      </c>
      <c r="W1090" t="b">
        <v>0</v>
      </c>
    </row>
    <row r="1091" spans="1:23" x14ac:dyDescent="0.3">
      <c r="A1091">
        <v>2982297</v>
      </c>
      <c r="B1091">
        <v>62.07</v>
      </c>
      <c r="C1091" t="s">
        <v>2391</v>
      </c>
      <c r="D1091" t="s">
        <v>2392</v>
      </c>
      <c r="E1091" t="s">
        <v>23</v>
      </c>
      <c r="F1091" t="s">
        <v>44</v>
      </c>
      <c r="G1091">
        <v>2016</v>
      </c>
      <c r="H1091" t="s">
        <v>2393</v>
      </c>
      <c r="K1091" t="s">
        <v>25</v>
      </c>
      <c r="L1091" t="s">
        <v>26</v>
      </c>
      <c r="M1091" t="b">
        <v>1</v>
      </c>
      <c r="N1091" t="s">
        <v>2394</v>
      </c>
      <c r="Q1091" t="b">
        <v>0</v>
      </c>
      <c r="S1091" t="str">
        <f>"9780310357704"</f>
        <v>9780310357704</v>
      </c>
      <c r="T1091" t="str">
        <f>"9780310345237"</f>
        <v>9780310345237</v>
      </c>
      <c r="U1091" t="b">
        <v>0</v>
      </c>
      <c r="W1091" t="b">
        <v>0</v>
      </c>
    </row>
    <row r="1092" spans="1:23" x14ac:dyDescent="0.3">
      <c r="A1092">
        <v>2982296</v>
      </c>
      <c r="B1092">
        <v>137.97</v>
      </c>
      <c r="C1092" t="s">
        <v>2395</v>
      </c>
      <c r="D1092" t="s">
        <v>2396</v>
      </c>
      <c r="E1092" t="s">
        <v>23</v>
      </c>
      <c r="F1092" t="s">
        <v>44</v>
      </c>
      <c r="G1092">
        <v>2017</v>
      </c>
      <c r="H1092" t="s">
        <v>748</v>
      </c>
      <c r="K1092" t="s">
        <v>25</v>
      </c>
      <c r="L1092" t="s">
        <v>26</v>
      </c>
      <c r="M1092" t="b">
        <v>1</v>
      </c>
      <c r="N1092" t="s">
        <v>44</v>
      </c>
      <c r="Q1092" t="b">
        <v>0</v>
      </c>
      <c r="S1092" t="str">
        <f>"9780310079989"</f>
        <v>9780310079989</v>
      </c>
      <c r="T1092" t="str">
        <f>"9780310080015"</f>
        <v>9780310080015</v>
      </c>
      <c r="U1092" t="b">
        <v>0</v>
      </c>
      <c r="W1092" t="b">
        <v>0</v>
      </c>
    </row>
    <row r="1093" spans="1:23" x14ac:dyDescent="0.3">
      <c r="A1093">
        <v>2982295</v>
      </c>
      <c r="B1093">
        <v>35.5</v>
      </c>
      <c r="C1093" t="s">
        <v>2397</v>
      </c>
      <c r="E1093" t="s">
        <v>23</v>
      </c>
      <c r="F1093" t="s">
        <v>44</v>
      </c>
      <c r="G1093">
        <v>2012</v>
      </c>
      <c r="H1093" t="s">
        <v>1349</v>
      </c>
      <c r="K1093" t="s">
        <v>25</v>
      </c>
      <c r="L1093" t="s">
        <v>30</v>
      </c>
      <c r="M1093" t="b">
        <v>1</v>
      </c>
      <c r="N1093" t="s">
        <v>44</v>
      </c>
      <c r="Q1093" t="b">
        <v>0</v>
      </c>
      <c r="T1093" t="str">
        <f>"9780310410980"</f>
        <v>9780310410980</v>
      </c>
      <c r="U1093" t="b">
        <v>0</v>
      </c>
      <c r="W1093" t="b">
        <v>0</v>
      </c>
    </row>
    <row r="1094" spans="1:23" x14ac:dyDescent="0.3">
      <c r="A1094">
        <v>2982294</v>
      </c>
      <c r="B1094">
        <v>53.27</v>
      </c>
      <c r="C1094" t="s">
        <v>2398</v>
      </c>
      <c r="D1094" t="s">
        <v>2399</v>
      </c>
      <c r="E1094" t="s">
        <v>23</v>
      </c>
      <c r="F1094" t="s">
        <v>44</v>
      </c>
      <c r="G1094">
        <v>2012</v>
      </c>
      <c r="H1094" t="s">
        <v>1349</v>
      </c>
      <c r="K1094" t="s">
        <v>25</v>
      </c>
      <c r="L1094" t="s">
        <v>30</v>
      </c>
      <c r="M1094" t="b">
        <v>1</v>
      </c>
      <c r="N1094" t="s">
        <v>2400</v>
      </c>
      <c r="Q1094" t="b">
        <v>0</v>
      </c>
      <c r="T1094" t="str">
        <f>"9780310413677"</f>
        <v>9780310413677</v>
      </c>
      <c r="U1094" t="b">
        <v>0</v>
      </c>
      <c r="W1094" t="b">
        <v>0</v>
      </c>
    </row>
    <row r="1095" spans="1:23" x14ac:dyDescent="0.3">
      <c r="A1095">
        <v>2982293</v>
      </c>
      <c r="B1095">
        <v>58.62</v>
      </c>
      <c r="C1095" t="s">
        <v>2401</v>
      </c>
      <c r="D1095" t="s">
        <v>2402</v>
      </c>
      <c r="E1095" t="s">
        <v>23</v>
      </c>
      <c r="F1095" t="s">
        <v>44</v>
      </c>
      <c r="G1095">
        <v>2018</v>
      </c>
      <c r="H1095" t="s">
        <v>58</v>
      </c>
      <c r="K1095" t="s">
        <v>25</v>
      </c>
      <c r="L1095" t="s">
        <v>26</v>
      </c>
      <c r="M1095" t="b">
        <v>1</v>
      </c>
      <c r="N1095" t="s">
        <v>2368</v>
      </c>
      <c r="Q1095" t="b">
        <v>0</v>
      </c>
      <c r="S1095" t="str">
        <f>"9780310352624"</f>
        <v>9780310352624</v>
      </c>
      <c r="T1095" t="str">
        <f>"9780310352631"</f>
        <v>9780310352631</v>
      </c>
      <c r="U1095" t="b">
        <v>0</v>
      </c>
      <c r="W1095" t="b">
        <v>0</v>
      </c>
    </row>
    <row r="1096" spans="1:23" x14ac:dyDescent="0.3">
      <c r="A1096">
        <v>2982292</v>
      </c>
      <c r="B1096">
        <v>17.73</v>
      </c>
      <c r="C1096" t="s">
        <v>2403</v>
      </c>
      <c r="E1096" t="s">
        <v>23</v>
      </c>
      <c r="F1096" t="s">
        <v>44</v>
      </c>
      <c r="G1096">
        <v>2012</v>
      </c>
      <c r="H1096" t="s">
        <v>62</v>
      </c>
      <c r="K1096" t="s">
        <v>25</v>
      </c>
      <c r="L1096" t="s">
        <v>30</v>
      </c>
      <c r="M1096" t="b">
        <v>1</v>
      </c>
      <c r="N1096" t="s">
        <v>2346</v>
      </c>
      <c r="P1096" t="s">
        <v>2347</v>
      </c>
      <c r="Q1096" t="b">
        <v>0</v>
      </c>
      <c r="T1096" t="str">
        <f>"9780310421573"</f>
        <v>9780310421573</v>
      </c>
      <c r="U1096" t="b">
        <v>0</v>
      </c>
      <c r="W1096" t="b">
        <v>0</v>
      </c>
    </row>
    <row r="1097" spans="1:23" x14ac:dyDescent="0.3">
      <c r="A1097">
        <v>2982291</v>
      </c>
      <c r="B1097">
        <v>17.73</v>
      </c>
      <c r="C1097" t="s">
        <v>2404</v>
      </c>
      <c r="E1097" t="s">
        <v>23</v>
      </c>
      <c r="F1097" t="s">
        <v>44</v>
      </c>
      <c r="G1097">
        <v>2012</v>
      </c>
      <c r="H1097" t="s">
        <v>1384</v>
      </c>
      <c r="K1097" t="s">
        <v>25</v>
      </c>
      <c r="L1097" t="s">
        <v>30</v>
      </c>
      <c r="M1097" t="b">
        <v>1</v>
      </c>
      <c r="N1097" t="s">
        <v>44</v>
      </c>
      <c r="Q1097" t="b">
        <v>0</v>
      </c>
      <c r="T1097" t="str">
        <f>"9780310443186"</f>
        <v>9780310443186</v>
      </c>
      <c r="U1097" t="b">
        <v>0</v>
      </c>
      <c r="W1097" t="b">
        <v>0</v>
      </c>
    </row>
    <row r="1098" spans="1:23" x14ac:dyDescent="0.3">
      <c r="A1098">
        <v>2982290</v>
      </c>
      <c r="B1098">
        <v>56.82</v>
      </c>
      <c r="C1098" t="s">
        <v>2405</v>
      </c>
      <c r="D1098" t="s">
        <v>2406</v>
      </c>
      <c r="E1098" t="s">
        <v>23</v>
      </c>
      <c r="F1098" t="s">
        <v>44</v>
      </c>
      <c r="G1098">
        <v>2013</v>
      </c>
      <c r="H1098" t="s">
        <v>58</v>
      </c>
      <c r="K1098" t="s">
        <v>25</v>
      </c>
      <c r="L1098" t="s">
        <v>30</v>
      </c>
      <c r="M1098" t="b">
        <v>1</v>
      </c>
      <c r="N1098" t="s">
        <v>131</v>
      </c>
      <c r="Q1098" t="b">
        <v>0</v>
      </c>
      <c r="T1098" t="str">
        <f>"9780310337546"</f>
        <v>9780310337546</v>
      </c>
      <c r="U1098" t="b">
        <v>0</v>
      </c>
      <c r="W1098" t="b">
        <v>0</v>
      </c>
    </row>
    <row r="1099" spans="1:23" x14ac:dyDescent="0.3">
      <c r="A1099">
        <v>2982289</v>
      </c>
      <c r="B1099">
        <v>8.49</v>
      </c>
      <c r="C1099" t="s">
        <v>2407</v>
      </c>
      <c r="E1099" t="s">
        <v>23</v>
      </c>
      <c r="F1099" t="s">
        <v>44</v>
      </c>
      <c r="G1099">
        <v>2012</v>
      </c>
      <c r="H1099" t="s">
        <v>1384</v>
      </c>
      <c r="K1099" t="s">
        <v>25</v>
      </c>
      <c r="L1099" t="s">
        <v>30</v>
      </c>
      <c r="M1099" t="b">
        <v>1</v>
      </c>
      <c r="N1099" t="s">
        <v>44</v>
      </c>
      <c r="Q1099" t="b">
        <v>0</v>
      </c>
      <c r="T1099" t="str">
        <f>"9780310421450"</f>
        <v>9780310421450</v>
      </c>
      <c r="U1099" t="b">
        <v>0</v>
      </c>
      <c r="W1099" t="b">
        <v>0</v>
      </c>
    </row>
    <row r="1100" spans="1:23" x14ac:dyDescent="0.3">
      <c r="A1100">
        <v>2982288</v>
      </c>
      <c r="B1100">
        <v>89.67</v>
      </c>
      <c r="C1100" t="s">
        <v>2408</v>
      </c>
      <c r="D1100" t="s">
        <v>2409</v>
      </c>
      <c r="E1100" t="s">
        <v>23</v>
      </c>
      <c r="F1100" t="s">
        <v>44</v>
      </c>
      <c r="G1100">
        <v>2020</v>
      </c>
      <c r="H1100" t="s">
        <v>731</v>
      </c>
      <c r="K1100" t="s">
        <v>25</v>
      </c>
      <c r="L1100" t="s">
        <v>26</v>
      </c>
      <c r="M1100" t="b">
        <v>1</v>
      </c>
      <c r="N1100" t="s">
        <v>2410</v>
      </c>
      <c r="Q1100" t="b">
        <v>0</v>
      </c>
      <c r="S1100" t="str">
        <f>"9780310360995"</f>
        <v>9780310360995</v>
      </c>
      <c r="T1100" t="str">
        <f>"9780310361008"</f>
        <v>9780310361008</v>
      </c>
      <c r="U1100" t="b">
        <v>0</v>
      </c>
      <c r="W1100" t="b">
        <v>0</v>
      </c>
    </row>
    <row r="1101" spans="1:23" x14ac:dyDescent="0.3">
      <c r="A1101">
        <v>2982287</v>
      </c>
      <c r="B1101">
        <v>99.46</v>
      </c>
      <c r="C1101" t="s">
        <v>2411</v>
      </c>
      <c r="D1101" t="s">
        <v>2412</v>
      </c>
      <c r="E1101" t="s">
        <v>23</v>
      </c>
      <c r="F1101" t="s">
        <v>44</v>
      </c>
      <c r="G1101">
        <v>2014</v>
      </c>
      <c r="H1101" t="s">
        <v>1349</v>
      </c>
      <c r="K1101" t="s">
        <v>25</v>
      </c>
      <c r="L1101" t="s">
        <v>26</v>
      </c>
      <c r="M1101" t="b">
        <v>1</v>
      </c>
      <c r="N1101" t="s">
        <v>2244</v>
      </c>
      <c r="Q1101" t="b">
        <v>0</v>
      </c>
      <c r="T1101" t="str">
        <f>"9780310432173"</f>
        <v>9780310432173</v>
      </c>
      <c r="U1101" t="b">
        <v>0</v>
      </c>
      <c r="W1101" t="b">
        <v>0</v>
      </c>
    </row>
    <row r="1102" spans="1:23" x14ac:dyDescent="0.3">
      <c r="A1102">
        <v>2982286</v>
      </c>
      <c r="B1102">
        <v>3.52</v>
      </c>
      <c r="C1102" t="s">
        <v>2413</v>
      </c>
      <c r="D1102" t="s">
        <v>1416</v>
      </c>
      <c r="E1102" t="s">
        <v>23</v>
      </c>
      <c r="F1102" t="s">
        <v>44</v>
      </c>
      <c r="G1102">
        <v>2012</v>
      </c>
      <c r="H1102" t="s">
        <v>1105</v>
      </c>
      <c r="K1102" t="s">
        <v>25</v>
      </c>
      <c r="L1102" t="s">
        <v>30</v>
      </c>
      <c r="M1102" t="b">
        <v>1</v>
      </c>
      <c r="N1102" t="s">
        <v>44</v>
      </c>
      <c r="Q1102" t="b">
        <v>0</v>
      </c>
      <c r="T1102" t="str">
        <f>"9780310411352"</f>
        <v>9780310411352</v>
      </c>
      <c r="U1102" t="b">
        <v>0</v>
      </c>
      <c r="W1102" t="b">
        <v>0</v>
      </c>
    </row>
    <row r="1103" spans="1:23" x14ac:dyDescent="0.3">
      <c r="A1103">
        <v>2982285</v>
      </c>
      <c r="B1103">
        <v>56.82</v>
      </c>
      <c r="C1103" t="s">
        <v>2414</v>
      </c>
      <c r="D1103" t="s">
        <v>2415</v>
      </c>
      <c r="E1103" t="s">
        <v>23</v>
      </c>
      <c r="F1103" t="s">
        <v>44</v>
      </c>
      <c r="G1103">
        <v>2010</v>
      </c>
      <c r="H1103" t="s">
        <v>912</v>
      </c>
      <c r="K1103" t="s">
        <v>25</v>
      </c>
      <c r="L1103" t="s">
        <v>30</v>
      </c>
      <c r="M1103" t="b">
        <v>1</v>
      </c>
      <c r="N1103" t="s">
        <v>2416</v>
      </c>
      <c r="Q1103" t="b">
        <v>0</v>
      </c>
      <c r="T1103" t="str">
        <f>"9780310325772"</f>
        <v>9780310325772</v>
      </c>
      <c r="U1103" t="b">
        <v>0</v>
      </c>
      <c r="W1103" t="b">
        <v>0</v>
      </c>
    </row>
    <row r="1104" spans="1:23" x14ac:dyDescent="0.3">
      <c r="A1104">
        <v>2982284</v>
      </c>
      <c r="B1104">
        <v>137.97</v>
      </c>
      <c r="C1104" t="s">
        <v>2417</v>
      </c>
      <c r="E1104" t="s">
        <v>23</v>
      </c>
      <c r="F1104" t="s">
        <v>44</v>
      </c>
      <c r="G1104">
        <v>2012</v>
      </c>
      <c r="H1104" t="s">
        <v>2247</v>
      </c>
      <c r="K1104" t="s">
        <v>25</v>
      </c>
      <c r="L1104" t="s">
        <v>30</v>
      </c>
      <c r="M1104" t="b">
        <v>1</v>
      </c>
      <c r="N1104" t="s">
        <v>44</v>
      </c>
      <c r="Q1104" t="b">
        <v>0</v>
      </c>
      <c r="S1104" t="str">
        <f>"9780310438151"</f>
        <v>9780310438151</v>
      </c>
      <c r="T1104" t="str">
        <f>"9780310441083"</f>
        <v>9780310441083</v>
      </c>
      <c r="U1104" t="b">
        <v>0</v>
      </c>
      <c r="W1104" t="b">
        <v>0</v>
      </c>
    </row>
    <row r="1105" spans="1:23" x14ac:dyDescent="0.3">
      <c r="A1105">
        <v>2982283</v>
      </c>
      <c r="B1105">
        <v>3.52</v>
      </c>
      <c r="C1105" t="s">
        <v>2418</v>
      </c>
      <c r="D1105" t="s">
        <v>2419</v>
      </c>
      <c r="E1105" t="s">
        <v>23</v>
      </c>
      <c r="F1105" t="s">
        <v>44</v>
      </c>
      <c r="G1105">
        <v>2011</v>
      </c>
      <c r="H1105" t="s">
        <v>1384</v>
      </c>
      <c r="I1105" t="s">
        <v>2420</v>
      </c>
      <c r="K1105" t="s">
        <v>25</v>
      </c>
      <c r="L1105" t="s">
        <v>30</v>
      </c>
      <c r="M1105" t="b">
        <v>1</v>
      </c>
      <c r="N1105" t="s">
        <v>44</v>
      </c>
      <c r="O1105" t="str">
        <f>"226.5/077"</f>
        <v>226.5/077</v>
      </c>
      <c r="Q1105" t="b">
        <v>0</v>
      </c>
      <c r="T1105" t="str">
        <f>"9780310441489"</f>
        <v>9780310441489</v>
      </c>
      <c r="U1105" t="b">
        <v>0</v>
      </c>
      <c r="W1105" t="b">
        <v>0</v>
      </c>
    </row>
    <row r="1106" spans="1:23" x14ac:dyDescent="0.3">
      <c r="A1106">
        <v>2982282</v>
      </c>
      <c r="B1106">
        <v>60.37</v>
      </c>
      <c r="C1106" t="s">
        <v>2421</v>
      </c>
      <c r="D1106" t="s">
        <v>2422</v>
      </c>
      <c r="E1106" t="s">
        <v>23</v>
      </c>
      <c r="F1106" t="s">
        <v>44</v>
      </c>
      <c r="G1106">
        <v>2012</v>
      </c>
      <c r="H1106" t="s">
        <v>1105</v>
      </c>
      <c r="K1106" t="s">
        <v>25</v>
      </c>
      <c r="L1106" t="s">
        <v>30</v>
      </c>
      <c r="M1106" t="b">
        <v>1</v>
      </c>
      <c r="N1106" t="s">
        <v>2423</v>
      </c>
      <c r="Q1106" t="b">
        <v>0</v>
      </c>
      <c r="T1106" t="str">
        <f>"9780310438823"</f>
        <v>9780310438823</v>
      </c>
      <c r="U1106" t="b">
        <v>0</v>
      </c>
      <c r="W1106" t="b">
        <v>0</v>
      </c>
    </row>
    <row r="1107" spans="1:23" x14ac:dyDescent="0.3">
      <c r="A1107">
        <v>2982281</v>
      </c>
      <c r="B1107">
        <v>189.72</v>
      </c>
      <c r="C1107" t="s">
        <v>2424</v>
      </c>
      <c r="D1107" t="s">
        <v>2425</v>
      </c>
      <c r="E1107" t="s">
        <v>23</v>
      </c>
      <c r="F1107" t="s">
        <v>44</v>
      </c>
      <c r="G1107">
        <v>2020</v>
      </c>
      <c r="H1107" t="s">
        <v>1105</v>
      </c>
      <c r="K1107" t="s">
        <v>25</v>
      </c>
      <c r="L1107" t="s">
        <v>26</v>
      </c>
      <c r="M1107" t="b">
        <v>1</v>
      </c>
      <c r="N1107" t="s">
        <v>44</v>
      </c>
      <c r="Q1107" t="b">
        <v>0</v>
      </c>
      <c r="S1107" t="str">
        <f>"9780310451495"</f>
        <v>9780310451495</v>
      </c>
      <c r="T1107" t="str">
        <f>"9780310451563"</f>
        <v>9780310451563</v>
      </c>
      <c r="U1107" t="b">
        <v>0</v>
      </c>
      <c r="W1107" t="b">
        <v>0</v>
      </c>
    </row>
    <row r="1108" spans="1:23" x14ac:dyDescent="0.3">
      <c r="A1108">
        <v>2982280</v>
      </c>
      <c r="B1108">
        <v>99.46</v>
      </c>
      <c r="C1108" t="s">
        <v>2426</v>
      </c>
      <c r="D1108" t="s">
        <v>2427</v>
      </c>
      <c r="E1108" t="s">
        <v>23</v>
      </c>
      <c r="F1108" t="s">
        <v>44</v>
      </c>
      <c r="G1108">
        <v>2014</v>
      </c>
      <c r="H1108" t="s">
        <v>2247</v>
      </c>
      <c r="K1108" t="s">
        <v>25</v>
      </c>
      <c r="L1108" t="s">
        <v>26</v>
      </c>
      <c r="M1108" t="b">
        <v>1</v>
      </c>
      <c r="N1108" t="s">
        <v>2428</v>
      </c>
      <c r="Q1108" t="b">
        <v>0</v>
      </c>
      <c r="T1108" t="str">
        <f>"9780310406136"</f>
        <v>9780310406136</v>
      </c>
      <c r="U1108" t="b">
        <v>0</v>
      </c>
      <c r="W1108" t="b">
        <v>0</v>
      </c>
    </row>
    <row r="1109" spans="1:23" x14ac:dyDescent="0.3">
      <c r="A1109">
        <v>2982279</v>
      </c>
      <c r="B1109">
        <v>71.03</v>
      </c>
      <c r="C1109" t="s">
        <v>2429</v>
      </c>
      <c r="D1109" t="s">
        <v>2430</v>
      </c>
      <c r="E1109" t="s">
        <v>23</v>
      </c>
      <c r="F1109" t="s">
        <v>44</v>
      </c>
      <c r="G1109">
        <v>2012</v>
      </c>
      <c r="H1109" t="s">
        <v>1105</v>
      </c>
      <c r="K1109" t="s">
        <v>25</v>
      </c>
      <c r="L1109" t="s">
        <v>30</v>
      </c>
      <c r="M1109" t="b">
        <v>1</v>
      </c>
      <c r="N1109" t="s">
        <v>44</v>
      </c>
      <c r="Q1109" t="b">
        <v>0</v>
      </c>
      <c r="T1109" t="str">
        <f>"9780310441076"</f>
        <v>9780310441076</v>
      </c>
      <c r="U1109" t="b">
        <v>0</v>
      </c>
      <c r="W1109" t="b">
        <v>0</v>
      </c>
    </row>
    <row r="1110" spans="1:23" x14ac:dyDescent="0.3">
      <c r="A1110">
        <v>2982278</v>
      </c>
      <c r="B1110">
        <v>79.95</v>
      </c>
      <c r="C1110" t="s">
        <v>2431</v>
      </c>
      <c r="D1110" t="s">
        <v>2432</v>
      </c>
      <c r="E1110" t="s">
        <v>23</v>
      </c>
      <c r="F1110" t="s">
        <v>44</v>
      </c>
      <c r="G1110">
        <v>2013</v>
      </c>
      <c r="H1110" t="s">
        <v>1349</v>
      </c>
      <c r="K1110" t="s">
        <v>25</v>
      </c>
      <c r="L1110" t="s">
        <v>30</v>
      </c>
      <c r="M1110" t="b">
        <v>1</v>
      </c>
      <c r="N1110" t="s">
        <v>44</v>
      </c>
      <c r="Q1110" t="b">
        <v>0</v>
      </c>
      <c r="T1110" t="str">
        <f>"9780310421283"</f>
        <v>9780310421283</v>
      </c>
      <c r="U1110" t="b">
        <v>0</v>
      </c>
      <c r="W1110" t="b">
        <v>0</v>
      </c>
    </row>
    <row r="1111" spans="1:23" x14ac:dyDescent="0.3">
      <c r="A1111">
        <v>2982277</v>
      </c>
      <c r="B1111">
        <v>35.5</v>
      </c>
      <c r="C1111" t="s">
        <v>2433</v>
      </c>
      <c r="E1111" t="s">
        <v>23</v>
      </c>
      <c r="F1111" t="s">
        <v>44</v>
      </c>
      <c r="G1111">
        <v>2012</v>
      </c>
      <c r="H1111" t="s">
        <v>2225</v>
      </c>
      <c r="K1111" t="s">
        <v>25</v>
      </c>
      <c r="L1111" t="s">
        <v>30</v>
      </c>
      <c r="M1111" t="b">
        <v>1</v>
      </c>
      <c r="N1111" t="s">
        <v>28</v>
      </c>
      <c r="P1111" t="s">
        <v>2226</v>
      </c>
      <c r="Q1111" t="b">
        <v>0</v>
      </c>
      <c r="T1111" t="str">
        <f>"9780310730217"</f>
        <v>9780310730217</v>
      </c>
      <c r="U1111" t="b">
        <v>0</v>
      </c>
      <c r="W1111" t="b">
        <v>0</v>
      </c>
    </row>
    <row r="1112" spans="1:23" x14ac:dyDescent="0.3">
      <c r="A1112">
        <v>2982275</v>
      </c>
      <c r="B1112">
        <v>99.46</v>
      </c>
      <c r="C1112" t="s">
        <v>2434</v>
      </c>
      <c r="D1112" t="s">
        <v>2435</v>
      </c>
      <c r="E1112" t="s">
        <v>23</v>
      </c>
      <c r="F1112" t="s">
        <v>44</v>
      </c>
      <c r="G1112">
        <v>2013</v>
      </c>
      <c r="H1112" t="s">
        <v>2247</v>
      </c>
      <c r="K1112" t="s">
        <v>25</v>
      </c>
      <c r="L1112" t="s">
        <v>30</v>
      </c>
      <c r="M1112" t="b">
        <v>1</v>
      </c>
      <c r="N1112" t="s">
        <v>2436</v>
      </c>
      <c r="Q1112" t="b">
        <v>0</v>
      </c>
      <c r="T1112" t="str">
        <f>"9780310421092"</f>
        <v>9780310421092</v>
      </c>
      <c r="U1112" t="b">
        <v>0</v>
      </c>
      <c r="W1112" t="b">
        <v>0</v>
      </c>
    </row>
    <row r="1113" spans="1:23" x14ac:dyDescent="0.3">
      <c r="A1113">
        <v>2982274</v>
      </c>
      <c r="B1113">
        <v>137.97</v>
      </c>
      <c r="C1113" t="s">
        <v>2437</v>
      </c>
      <c r="D1113" t="s">
        <v>1416</v>
      </c>
      <c r="E1113" t="s">
        <v>23</v>
      </c>
      <c r="F1113" t="s">
        <v>44</v>
      </c>
      <c r="G1113">
        <v>2012</v>
      </c>
      <c r="H1113" t="s">
        <v>1105</v>
      </c>
      <c r="K1113" t="s">
        <v>25</v>
      </c>
      <c r="L1113" t="s">
        <v>30</v>
      </c>
      <c r="M1113" t="b">
        <v>1</v>
      </c>
      <c r="N1113" t="s">
        <v>2438</v>
      </c>
      <c r="Q1113" t="b">
        <v>0</v>
      </c>
      <c r="S1113" t="str">
        <f>"9780310941767"</f>
        <v>9780310941767</v>
      </c>
      <c r="T1113" t="str">
        <f>"9780310441069"</f>
        <v>9780310441069</v>
      </c>
      <c r="U1113" t="b">
        <v>0</v>
      </c>
      <c r="W1113" t="b">
        <v>0</v>
      </c>
    </row>
    <row r="1114" spans="1:23" x14ac:dyDescent="0.3">
      <c r="A1114">
        <v>2982273</v>
      </c>
      <c r="B1114">
        <v>44.82</v>
      </c>
      <c r="C1114" t="s">
        <v>2439</v>
      </c>
      <c r="E1114" t="s">
        <v>23</v>
      </c>
      <c r="F1114" t="s">
        <v>44</v>
      </c>
      <c r="G1114">
        <v>2009</v>
      </c>
      <c r="H1114" t="s">
        <v>66</v>
      </c>
      <c r="K1114" t="s">
        <v>25</v>
      </c>
      <c r="L1114" t="s">
        <v>30</v>
      </c>
      <c r="M1114" t="b">
        <v>1</v>
      </c>
      <c r="N1114" t="s">
        <v>77</v>
      </c>
      <c r="P1114" t="s">
        <v>2373</v>
      </c>
      <c r="Q1114" t="b">
        <v>1</v>
      </c>
      <c r="S1114" t="str">
        <f>"9780310217596"</f>
        <v>9780310217596</v>
      </c>
      <c r="T1114" t="str">
        <f>"9780310860723"</f>
        <v>9780310860723</v>
      </c>
      <c r="U1114" t="b">
        <v>0</v>
      </c>
      <c r="W1114" t="b">
        <v>0</v>
      </c>
    </row>
    <row r="1115" spans="1:23" x14ac:dyDescent="0.3">
      <c r="A1115">
        <v>2982272</v>
      </c>
      <c r="B1115">
        <v>71.03</v>
      </c>
      <c r="C1115" t="s">
        <v>2440</v>
      </c>
      <c r="D1115" t="s">
        <v>2441</v>
      </c>
      <c r="E1115" t="s">
        <v>23</v>
      </c>
      <c r="F1115" t="s">
        <v>44</v>
      </c>
      <c r="G1115">
        <v>2011</v>
      </c>
      <c r="H1115" t="s">
        <v>1105</v>
      </c>
      <c r="K1115" t="s">
        <v>25</v>
      </c>
      <c r="L1115" t="s">
        <v>30</v>
      </c>
      <c r="M1115" t="b">
        <v>1</v>
      </c>
      <c r="N1115" t="s">
        <v>44</v>
      </c>
      <c r="Q1115" t="b">
        <v>0</v>
      </c>
      <c r="T1115" t="str">
        <f>"9780310408819"</f>
        <v>9780310408819</v>
      </c>
      <c r="U1115" t="b">
        <v>0</v>
      </c>
      <c r="W1115" t="b">
        <v>0</v>
      </c>
    </row>
    <row r="1116" spans="1:23" x14ac:dyDescent="0.3">
      <c r="A1116">
        <v>2982271</v>
      </c>
      <c r="B1116">
        <v>60.37</v>
      </c>
      <c r="C1116" t="s">
        <v>2442</v>
      </c>
      <c r="D1116" t="s">
        <v>2443</v>
      </c>
      <c r="E1116" t="s">
        <v>23</v>
      </c>
      <c r="F1116" t="s">
        <v>44</v>
      </c>
      <c r="G1116">
        <v>2014</v>
      </c>
      <c r="H1116" t="s">
        <v>2247</v>
      </c>
      <c r="K1116" t="s">
        <v>25</v>
      </c>
      <c r="L1116" t="s">
        <v>26</v>
      </c>
      <c r="M1116" t="b">
        <v>1</v>
      </c>
      <c r="N1116" t="s">
        <v>2444</v>
      </c>
      <c r="Q1116" t="b">
        <v>0</v>
      </c>
      <c r="S1116" t="str">
        <f>"9780310407133"</f>
        <v>9780310407133</v>
      </c>
      <c r="T1116" t="str">
        <f>"9780310411116"</f>
        <v>9780310411116</v>
      </c>
      <c r="U1116" t="b">
        <v>0</v>
      </c>
      <c r="W1116" t="b">
        <v>0</v>
      </c>
    </row>
    <row r="1117" spans="1:23" x14ac:dyDescent="0.3">
      <c r="A1117">
        <v>2982270</v>
      </c>
      <c r="B1117">
        <v>99.46</v>
      </c>
      <c r="C1117" t="s">
        <v>2445</v>
      </c>
      <c r="D1117" t="s">
        <v>2446</v>
      </c>
      <c r="E1117" t="s">
        <v>23</v>
      </c>
      <c r="F1117" t="s">
        <v>44</v>
      </c>
      <c r="G1117">
        <v>2015</v>
      </c>
      <c r="H1117" t="s">
        <v>2225</v>
      </c>
      <c r="K1117" t="s">
        <v>25</v>
      </c>
      <c r="L1117" t="s">
        <v>26</v>
      </c>
      <c r="M1117" t="b">
        <v>1</v>
      </c>
      <c r="N1117" t="s">
        <v>44</v>
      </c>
      <c r="Q1117" t="b">
        <v>0</v>
      </c>
      <c r="S1117" t="str">
        <f>"9780310409465"</f>
        <v>9780310409465</v>
      </c>
      <c r="T1117" t="str">
        <f>"9780310419068"</f>
        <v>9780310419068</v>
      </c>
      <c r="U1117" t="b">
        <v>0</v>
      </c>
      <c r="W1117" t="b">
        <v>0</v>
      </c>
    </row>
    <row r="1118" spans="1:23" x14ac:dyDescent="0.3">
      <c r="A1118">
        <v>2982269</v>
      </c>
      <c r="B1118">
        <v>44.82</v>
      </c>
      <c r="C1118" t="s">
        <v>2447</v>
      </c>
      <c r="D1118" t="s">
        <v>2448</v>
      </c>
      <c r="E1118" t="s">
        <v>23</v>
      </c>
      <c r="F1118" t="s">
        <v>44</v>
      </c>
      <c r="G1118">
        <v>2010</v>
      </c>
      <c r="H1118" t="s">
        <v>834</v>
      </c>
      <c r="K1118" t="s">
        <v>25</v>
      </c>
      <c r="L1118" t="s">
        <v>30</v>
      </c>
      <c r="M1118" t="b">
        <v>1</v>
      </c>
      <c r="N1118" t="s">
        <v>2249</v>
      </c>
      <c r="Q1118" t="b">
        <v>0</v>
      </c>
      <c r="S1118" t="str">
        <f>"9780310267065"</f>
        <v>9780310267065</v>
      </c>
      <c r="T1118" t="str">
        <f>"9780310863779"</f>
        <v>9780310863779</v>
      </c>
      <c r="U1118" t="b">
        <v>0</v>
      </c>
      <c r="W1118" t="b">
        <v>0</v>
      </c>
    </row>
    <row r="1119" spans="1:23" x14ac:dyDescent="0.3">
      <c r="A1119">
        <v>2982268</v>
      </c>
      <c r="B1119">
        <v>71.03</v>
      </c>
      <c r="C1119" t="s">
        <v>2449</v>
      </c>
      <c r="D1119" t="s">
        <v>2450</v>
      </c>
      <c r="E1119" t="s">
        <v>23</v>
      </c>
      <c r="F1119" t="s">
        <v>44</v>
      </c>
      <c r="G1119">
        <v>2012</v>
      </c>
      <c r="H1119" t="s">
        <v>1349</v>
      </c>
      <c r="K1119" t="s">
        <v>25</v>
      </c>
      <c r="L1119" t="s">
        <v>30</v>
      </c>
      <c r="M1119" t="b">
        <v>1</v>
      </c>
      <c r="N1119" t="s">
        <v>44</v>
      </c>
      <c r="Q1119" t="b">
        <v>0</v>
      </c>
      <c r="T1119" t="str">
        <f>"9780310440147"</f>
        <v>9780310440147</v>
      </c>
      <c r="U1119" t="b">
        <v>0</v>
      </c>
      <c r="W1119" t="b">
        <v>0</v>
      </c>
    </row>
    <row r="1120" spans="1:23" x14ac:dyDescent="0.3">
      <c r="A1120">
        <v>2982267</v>
      </c>
      <c r="B1120">
        <v>41.37</v>
      </c>
      <c r="C1120" t="s">
        <v>2451</v>
      </c>
      <c r="D1120" t="s">
        <v>2452</v>
      </c>
      <c r="E1120" t="s">
        <v>23</v>
      </c>
      <c r="F1120" t="s">
        <v>44</v>
      </c>
      <c r="G1120">
        <v>2020</v>
      </c>
      <c r="H1120" t="s">
        <v>107</v>
      </c>
      <c r="I1120" t="s">
        <v>2453</v>
      </c>
      <c r="J1120" t="s">
        <v>2454</v>
      </c>
      <c r="K1120" t="s">
        <v>25</v>
      </c>
      <c r="L1120" t="s">
        <v>26</v>
      </c>
      <c r="M1120" t="b">
        <v>1</v>
      </c>
      <c r="N1120" t="s">
        <v>2340</v>
      </c>
      <c r="O1120" t="str">
        <f>"231.8"</f>
        <v>231.8</v>
      </c>
      <c r="Q1120" t="b">
        <v>0</v>
      </c>
      <c r="S1120" t="str">
        <f>"9780310120803"</f>
        <v>9780310120803</v>
      </c>
      <c r="T1120" t="str">
        <f>"9780310120810"</f>
        <v>9780310120810</v>
      </c>
      <c r="U1120" t="b">
        <v>0</v>
      </c>
      <c r="W1120" t="b">
        <v>0</v>
      </c>
    </row>
    <row r="1121" spans="1:23" x14ac:dyDescent="0.3">
      <c r="A1121">
        <v>2982266</v>
      </c>
      <c r="B1121">
        <v>35.5</v>
      </c>
      <c r="C1121" t="s">
        <v>2455</v>
      </c>
      <c r="E1121" t="s">
        <v>23</v>
      </c>
      <c r="F1121" t="s">
        <v>44</v>
      </c>
      <c r="G1121">
        <v>2012</v>
      </c>
      <c r="H1121" t="s">
        <v>748</v>
      </c>
      <c r="K1121" t="s">
        <v>25</v>
      </c>
      <c r="L1121" t="s">
        <v>30</v>
      </c>
      <c r="M1121" t="b">
        <v>1</v>
      </c>
      <c r="N1121" t="s">
        <v>44</v>
      </c>
      <c r="Q1121" t="b">
        <v>0</v>
      </c>
      <c r="T1121" t="str">
        <f>"9780310729815"</f>
        <v>9780310729815</v>
      </c>
      <c r="U1121" t="b">
        <v>0</v>
      </c>
      <c r="W1121" t="b">
        <v>0</v>
      </c>
    </row>
    <row r="1122" spans="1:23" x14ac:dyDescent="0.3">
      <c r="A1122">
        <v>2982265</v>
      </c>
      <c r="B1122">
        <v>53.27</v>
      </c>
      <c r="C1122" t="s">
        <v>2456</v>
      </c>
      <c r="D1122" t="s">
        <v>2457</v>
      </c>
      <c r="E1122" t="s">
        <v>23</v>
      </c>
      <c r="F1122" t="s">
        <v>44</v>
      </c>
      <c r="G1122">
        <v>2012</v>
      </c>
      <c r="H1122" t="s">
        <v>748</v>
      </c>
      <c r="K1122" t="s">
        <v>25</v>
      </c>
      <c r="L1122" t="s">
        <v>30</v>
      </c>
      <c r="M1122" t="b">
        <v>1</v>
      </c>
      <c r="N1122" t="s">
        <v>28</v>
      </c>
      <c r="Q1122" t="b">
        <v>0</v>
      </c>
      <c r="T1122" t="str">
        <f>"9780310725640"</f>
        <v>9780310725640</v>
      </c>
      <c r="U1122" t="b">
        <v>0</v>
      </c>
      <c r="W1122" t="b">
        <v>0</v>
      </c>
    </row>
    <row r="1123" spans="1:23" x14ac:dyDescent="0.3">
      <c r="A1123">
        <v>2982264</v>
      </c>
      <c r="B1123">
        <v>44.82</v>
      </c>
      <c r="C1123" t="s">
        <v>2458</v>
      </c>
      <c r="E1123" t="s">
        <v>23</v>
      </c>
      <c r="F1123" t="s">
        <v>44</v>
      </c>
      <c r="G1123">
        <v>2009</v>
      </c>
      <c r="H1123" t="s">
        <v>66</v>
      </c>
      <c r="K1123" t="s">
        <v>25</v>
      </c>
      <c r="L1123" t="s">
        <v>30</v>
      </c>
      <c r="M1123" t="b">
        <v>1</v>
      </c>
      <c r="N1123" t="s">
        <v>77</v>
      </c>
      <c r="P1123" t="s">
        <v>2373</v>
      </c>
      <c r="Q1123" t="b">
        <v>1</v>
      </c>
      <c r="S1123" t="str">
        <f>"9780310217572"</f>
        <v>9780310217572</v>
      </c>
      <c r="T1123" t="str">
        <f>"9780310859888"</f>
        <v>9780310859888</v>
      </c>
      <c r="U1123" t="b">
        <v>0</v>
      </c>
      <c r="W1123" t="b">
        <v>0</v>
      </c>
    </row>
    <row r="1124" spans="1:23" x14ac:dyDescent="0.3">
      <c r="A1124">
        <v>2982263</v>
      </c>
      <c r="B1124">
        <v>60.37</v>
      </c>
      <c r="C1124" t="s">
        <v>2459</v>
      </c>
      <c r="D1124" t="s">
        <v>2460</v>
      </c>
      <c r="E1124" t="s">
        <v>23</v>
      </c>
      <c r="F1124" t="s">
        <v>44</v>
      </c>
      <c r="G1124">
        <v>2013</v>
      </c>
      <c r="H1124" t="s">
        <v>2247</v>
      </c>
      <c r="K1124" t="s">
        <v>25</v>
      </c>
      <c r="L1124" t="s">
        <v>26</v>
      </c>
      <c r="M1124" t="b">
        <v>1</v>
      </c>
      <c r="N1124" t="s">
        <v>2461</v>
      </c>
      <c r="Q1124" t="b">
        <v>0</v>
      </c>
      <c r="T1124" t="str">
        <f>"9780310404798"</f>
        <v>9780310404798</v>
      </c>
      <c r="U1124" t="b">
        <v>0</v>
      </c>
      <c r="W1124" t="b">
        <v>0</v>
      </c>
    </row>
    <row r="1125" spans="1:23" x14ac:dyDescent="0.3">
      <c r="A1125">
        <v>2982262</v>
      </c>
      <c r="B1125">
        <v>3.52</v>
      </c>
      <c r="C1125" t="s">
        <v>2462</v>
      </c>
      <c r="D1125" t="s">
        <v>2463</v>
      </c>
      <c r="E1125" t="s">
        <v>23</v>
      </c>
      <c r="F1125" t="s">
        <v>44</v>
      </c>
      <c r="G1125">
        <v>2011</v>
      </c>
      <c r="H1125" t="s">
        <v>1384</v>
      </c>
      <c r="K1125" t="s">
        <v>25</v>
      </c>
      <c r="L1125" t="s">
        <v>30</v>
      </c>
      <c r="M1125" t="b">
        <v>1</v>
      </c>
      <c r="N1125" t="s">
        <v>44</v>
      </c>
      <c r="Q1125" t="b">
        <v>0</v>
      </c>
      <c r="T1125" t="str">
        <f>"9780310443063"</f>
        <v>9780310443063</v>
      </c>
      <c r="U1125" t="b">
        <v>0</v>
      </c>
      <c r="W1125" t="b">
        <v>0</v>
      </c>
    </row>
    <row r="1126" spans="1:23" x14ac:dyDescent="0.3">
      <c r="A1126">
        <v>2982261</v>
      </c>
      <c r="B1126">
        <v>35.5</v>
      </c>
      <c r="C1126" t="s">
        <v>2464</v>
      </c>
      <c r="E1126" t="s">
        <v>23</v>
      </c>
      <c r="F1126" t="s">
        <v>44</v>
      </c>
      <c r="G1126">
        <v>2012</v>
      </c>
      <c r="H1126" t="s">
        <v>1349</v>
      </c>
      <c r="K1126" t="s">
        <v>25</v>
      </c>
      <c r="L1126" t="s">
        <v>30</v>
      </c>
      <c r="M1126" t="b">
        <v>1</v>
      </c>
      <c r="N1126" t="s">
        <v>44</v>
      </c>
      <c r="Q1126" t="b">
        <v>0</v>
      </c>
      <c r="T1126" t="str">
        <f>"9780310410973"</f>
        <v>9780310410973</v>
      </c>
      <c r="U1126" t="b">
        <v>0</v>
      </c>
      <c r="W1126" t="b">
        <v>0</v>
      </c>
    </row>
    <row r="1127" spans="1:23" x14ac:dyDescent="0.3">
      <c r="A1127">
        <v>2982260</v>
      </c>
      <c r="B1127">
        <v>189.72</v>
      </c>
      <c r="C1127" t="s">
        <v>2465</v>
      </c>
      <c r="D1127" t="s">
        <v>2466</v>
      </c>
      <c r="E1127" t="s">
        <v>23</v>
      </c>
      <c r="F1127" t="s">
        <v>44</v>
      </c>
      <c r="G1127">
        <v>2018</v>
      </c>
      <c r="H1127" t="s">
        <v>1105</v>
      </c>
      <c r="K1127" t="s">
        <v>25</v>
      </c>
      <c r="L1127" t="s">
        <v>145</v>
      </c>
      <c r="M1127" t="b">
        <v>1</v>
      </c>
      <c r="N1127" t="s">
        <v>2467</v>
      </c>
      <c r="Q1127" t="b">
        <v>0</v>
      </c>
      <c r="S1127" t="str">
        <f>"9780310450405"</f>
        <v>9780310450405</v>
      </c>
      <c r="T1127" t="str">
        <f>"9780310450436"</f>
        <v>9780310450436</v>
      </c>
      <c r="U1127" t="b">
        <v>0</v>
      </c>
      <c r="W1127" t="b">
        <v>0</v>
      </c>
    </row>
    <row r="1128" spans="1:23" x14ac:dyDescent="0.3">
      <c r="A1128">
        <v>2982259</v>
      </c>
      <c r="B1128">
        <v>3.52</v>
      </c>
      <c r="C1128" t="s">
        <v>2468</v>
      </c>
      <c r="E1128" t="s">
        <v>23</v>
      </c>
      <c r="F1128" t="s">
        <v>44</v>
      </c>
      <c r="G1128">
        <v>2011</v>
      </c>
      <c r="H1128" t="s">
        <v>1349</v>
      </c>
      <c r="I1128" t="s">
        <v>2469</v>
      </c>
      <c r="J1128" t="s">
        <v>2470</v>
      </c>
      <c r="K1128" t="s">
        <v>25</v>
      </c>
      <c r="L1128" t="s">
        <v>30</v>
      </c>
      <c r="M1128" t="b">
        <v>1</v>
      </c>
      <c r="N1128" t="s">
        <v>44</v>
      </c>
      <c r="O1128" t="str">
        <f>"232.92"</f>
        <v>232.92</v>
      </c>
      <c r="Q1128" t="b">
        <v>0</v>
      </c>
      <c r="T1128" t="str">
        <f>"9780310441120"</f>
        <v>9780310441120</v>
      </c>
      <c r="U1128" t="b">
        <v>0</v>
      </c>
      <c r="W1128" t="b">
        <v>0</v>
      </c>
    </row>
    <row r="1129" spans="1:23" x14ac:dyDescent="0.3">
      <c r="A1129">
        <v>2982258</v>
      </c>
      <c r="B1129">
        <v>58.62</v>
      </c>
      <c r="C1129" t="s">
        <v>2471</v>
      </c>
      <c r="D1129" t="s">
        <v>2472</v>
      </c>
      <c r="E1129" t="s">
        <v>23</v>
      </c>
      <c r="F1129" t="s">
        <v>44</v>
      </c>
      <c r="G1129">
        <v>2018</v>
      </c>
      <c r="H1129" t="s">
        <v>62</v>
      </c>
      <c r="I1129" t="s">
        <v>2473</v>
      </c>
      <c r="J1129" t="s">
        <v>2474</v>
      </c>
      <c r="K1129" t="s">
        <v>25</v>
      </c>
      <c r="L1129" t="s">
        <v>26</v>
      </c>
      <c r="M1129" t="b">
        <v>1</v>
      </c>
      <c r="N1129" t="s">
        <v>2269</v>
      </c>
      <c r="O1129" t="str">
        <f>"277.3083"</f>
        <v>277.3083</v>
      </c>
      <c r="Q1129" t="b">
        <v>0</v>
      </c>
      <c r="S1129" t="str">
        <f>"9780310351542"</f>
        <v>9780310351542</v>
      </c>
      <c r="T1129" t="str">
        <f>"9780310351559"</f>
        <v>9780310351559</v>
      </c>
      <c r="U1129" t="b">
        <v>0</v>
      </c>
      <c r="W1129" t="b">
        <v>0</v>
      </c>
    </row>
    <row r="1130" spans="1:23" x14ac:dyDescent="0.3">
      <c r="A1130">
        <v>2982257</v>
      </c>
      <c r="B1130">
        <v>137.97</v>
      </c>
      <c r="C1130" t="s">
        <v>2475</v>
      </c>
      <c r="D1130" t="s">
        <v>2476</v>
      </c>
      <c r="E1130" t="s">
        <v>23</v>
      </c>
      <c r="F1130" t="s">
        <v>44</v>
      </c>
      <c r="G1130">
        <v>2015</v>
      </c>
      <c r="H1130" t="s">
        <v>748</v>
      </c>
      <c r="K1130" t="s">
        <v>25</v>
      </c>
      <c r="L1130" t="s">
        <v>26</v>
      </c>
      <c r="M1130" t="b">
        <v>1</v>
      </c>
      <c r="N1130" t="s">
        <v>44</v>
      </c>
      <c r="Q1130" t="b">
        <v>0</v>
      </c>
      <c r="S1130" t="str">
        <f>"9780310749691"</f>
        <v>9780310749691</v>
      </c>
      <c r="T1130" t="str">
        <f>"9780310749820"</f>
        <v>9780310749820</v>
      </c>
      <c r="U1130" t="b">
        <v>0</v>
      </c>
      <c r="W1130" t="b">
        <v>0</v>
      </c>
    </row>
    <row r="1131" spans="1:23" x14ac:dyDescent="0.3">
      <c r="A1131">
        <v>2982256</v>
      </c>
      <c r="B1131">
        <v>63.93</v>
      </c>
      <c r="C1131" t="s">
        <v>2477</v>
      </c>
      <c r="D1131" t="s">
        <v>2478</v>
      </c>
      <c r="E1131" t="s">
        <v>23</v>
      </c>
      <c r="F1131" t="s">
        <v>44</v>
      </c>
      <c r="G1131">
        <v>2010</v>
      </c>
      <c r="H1131" t="s">
        <v>70</v>
      </c>
      <c r="K1131" t="s">
        <v>25</v>
      </c>
      <c r="L1131" t="s">
        <v>30</v>
      </c>
      <c r="M1131" t="b">
        <v>1</v>
      </c>
      <c r="N1131" t="s">
        <v>2479</v>
      </c>
      <c r="Q1131" t="b">
        <v>0</v>
      </c>
      <c r="T1131" t="str">
        <f>"9780310412595"</f>
        <v>9780310412595</v>
      </c>
      <c r="U1131" t="b">
        <v>0</v>
      </c>
      <c r="W1131" t="b">
        <v>0</v>
      </c>
    </row>
    <row r="1132" spans="1:23" x14ac:dyDescent="0.3">
      <c r="A1132">
        <v>2982255</v>
      </c>
      <c r="B1132">
        <v>53.27</v>
      </c>
      <c r="C1132" t="s">
        <v>2480</v>
      </c>
      <c r="D1132" t="s">
        <v>2481</v>
      </c>
      <c r="E1132" t="s">
        <v>23</v>
      </c>
      <c r="F1132" t="s">
        <v>44</v>
      </c>
      <c r="G1132">
        <v>2011</v>
      </c>
      <c r="H1132" t="s">
        <v>1349</v>
      </c>
      <c r="K1132" t="s">
        <v>25</v>
      </c>
      <c r="L1132" t="s">
        <v>30</v>
      </c>
      <c r="M1132" t="b">
        <v>1</v>
      </c>
      <c r="N1132" t="s">
        <v>44</v>
      </c>
      <c r="Q1132" t="b">
        <v>0</v>
      </c>
      <c r="T1132" t="str">
        <f>"9780310441984"</f>
        <v>9780310441984</v>
      </c>
      <c r="U1132" t="b">
        <v>0</v>
      </c>
      <c r="W1132" t="b">
        <v>0</v>
      </c>
    </row>
    <row r="1133" spans="1:23" x14ac:dyDescent="0.3">
      <c r="A1133">
        <v>2982254</v>
      </c>
      <c r="B1133">
        <v>86.22</v>
      </c>
      <c r="C1133" t="s">
        <v>2482</v>
      </c>
      <c r="D1133" t="s">
        <v>2483</v>
      </c>
      <c r="E1133" t="s">
        <v>23</v>
      </c>
      <c r="F1133" t="s">
        <v>44</v>
      </c>
      <c r="G1133">
        <v>2017</v>
      </c>
      <c r="H1133" t="s">
        <v>2484</v>
      </c>
      <c r="K1133" t="s">
        <v>25</v>
      </c>
      <c r="L1133" t="s">
        <v>26</v>
      </c>
      <c r="M1133" t="b">
        <v>1</v>
      </c>
      <c r="N1133" t="s">
        <v>2485</v>
      </c>
      <c r="Q1133" t="b">
        <v>0</v>
      </c>
      <c r="S1133" t="str">
        <f>"9780310351962"</f>
        <v>9780310351962</v>
      </c>
      <c r="T1133" t="str">
        <f>"9780310352549"</f>
        <v>9780310352549</v>
      </c>
      <c r="U1133" t="b">
        <v>0</v>
      </c>
      <c r="W1133" t="b">
        <v>0</v>
      </c>
    </row>
    <row r="1134" spans="1:23" x14ac:dyDescent="0.3">
      <c r="A1134">
        <v>2982253</v>
      </c>
      <c r="B1134">
        <v>86.22</v>
      </c>
      <c r="C1134" t="s">
        <v>2486</v>
      </c>
      <c r="D1134" t="s">
        <v>2487</v>
      </c>
      <c r="E1134" t="s">
        <v>23</v>
      </c>
      <c r="F1134" t="s">
        <v>44</v>
      </c>
      <c r="G1134">
        <v>2014</v>
      </c>
      <c r="H1134" t="s">
        <v>1105</v>
      </c>
      <c r="K1134" t="s">
        <v>25</v>
      </c>
      <c r="L1134" t="s">
        <v>26</v>
      </c>
      <c r="M1134" t="b">
        <v>1</v>
      </c>
      <c r="N1134" t="s">
        <v>44</v>
      </c>
      <c r="Q1134" t="b">
        <v>0</v>
      </c>
      <c r="S1134" t="str">
        <f>"9780310441663"</f>
        <v>9780310441663</v>
      </c>
      <c r="T1134" t="str">
        <f>"9780310442295"</f>
        <v>9780310442295</v>
      </c>
      <c r="U1134" t="b">
        <v>0</v>
      </c>
      <c r="W1134" t="b">
        <v>0</v>
      </c>
    </row>
    <row r="1135" spans="1:23" x14ac:dyDescent="0.3">
      <c r="A1135">
        <v>2982252</v>
      </c>
      <c r="B1135">
        <v>58.62</v>
      </c>
      <c r="C1135" t="s">
        <v>2488</v>
      </c>
      <c r="E1135" t="s">
        <v>23</v>
      </c>
      <c r="F1135" t="s">
        <v>44</v>
      </c>
      <c r="G1135">
        <v>2014</v>
      </c>
      <c r="H1135" t="s">
        <v>58</v>
      </c>
      <c r="K1135" t="s">
        <v>25</v>
      </c>
      <c r="L1135" t="s">
        <v>30</v>
      </c>
      <c r="M1135" t="b">
        <v>1</v>
      </c>
      <c r="N1135" t="s">
        <v>2269</v>
      </c>
      <c r="Q1135" t="b">
        <v>0</v>
      </c>
      <c r="S1135" t="str">
        <f>"9780310339823"</f>
        <v>9780310339823</v>
      </c>
      <c r="T1135" t="str">
        <f>"9780310339830"</f>
        <v>9780310339830</v>
      </c>
      <c r="U1135" t="b">
        <v>0</v>
      </c>
      <c r="W1135" t="b">
        <v>0</v>
      </c>
    </row>
    <row r="1136" spans="1:23" x14ac:dyDescent="0.3">
      <c r="A1136">
        <v>2982251</v>
      </c>
      <c r="B1136">
        <v>65.52</v>
      </c>
      <c r="C1136" t="s">
        <v>2489</v>
      </c>
      <c r="D1136" t="s">
        <v>2490</v>
      </c>
      <c r="E1136" t="s">
        <v>23</v>
      </c>
      <c r="F1136" t="s">
        <v>44</v>
      </c>
      <c r="G1136">
        <v>2019</v>
      </c>
      <c r="H1136" t="s">
        <v>24</v>
      </c>
      <c r="K1136" t="s">
        <v>25</v>
      </c>
      <c r="L1136" t="s">
        <v>26</v>
      </c>
      <c r="M1136" t="b">
        <v>1</v>
      </c>
      <c r="N1136" t="s">
        <v>131</v>
      </c>
      <c r="Q1136" t="b">
        <v>0</v>
      </c>
      <c r="S1136" t="str">
        <f>"9780310632054"</f>
        <v>9780310632054</v>
      </c>
      <c r="T1136" t="str">
        <f>"9780310632061"</f>
        <v>9780310632061</v>
      </c>
      <c r="U1136" t="b">
        <v>0</v>
      </c>
      <c r="W1136" t="b">
        <v>0</v>
      </c>
    </row>
    <row r="1137" spans="1:23" x14ac:dyDescent="0.3">
      <c r="A1137">
        <v>2982250</v>
      </c>
      <c r="B1137">
        <v>95.91</v>
      </c>
      <c r="C1137" t="s">
        <v>2491</v>
      </c>
      <c r="E1137" t="s">
        <v>23</v>
      </c>
      <c r="F1137" t="s">
        <v>44</v>
      </c>
      <c r="G1137">
        <v>2012</v>
      </c>
      <c r="H1137" t="s">
        <v>1349</v>
      </c>
      <c r="K1137" t="s">
        <v>25</v>
      </c>
      <c r="L1137" t="s">
        <v>30</v>
      </c>
      <c r="M1137" t="b">
        <v>1</v>
      </c>
      <c r="N1137" t="s">
        <v>44</v>
      </c>
      <c r="Q1137" t="b">
        <v>0</v>
      </c>
      <c r="T1137" t="str">
        <f>"9780310411109"</f>
        <v>9780310411109</v>
      </c>
      <c r="U1137" t="b">
        <v>0</v>
      </c>
      <c r="W1137" t="b">
        <v>0</v>
      </c>
    </row>
    <row r="1138" spans="1:23" x14ac:dyDescent="0.3">
      <c r="A1138">
        <v>2982249</v>
      </c>
      <c r="B1138">
        <v>189.72</v>
      </c>
      <c r="C1138" t="s">
        <v>2492</v>
      </c>
      <c r="E1138" t="s">
        <v>23</v>
      </c>
      <c r="F1138" t="s">
        <v>44</v>
      </c>
      <c r="G1138">
        <v>2020</v>
      </c>
      <c r="H1138" t="s">
        <v>1105</v>
      </c>
      <c r="I1138" t="s">
        <v>2493</v>
      </c>
      <c r="K1138" t="s">
        <v>25</v>
      </c>
      <c r="L1138" t="s">
        <v>145</v>
      </c>
      <c r="M1138" t="b">
        <v>1</v>
      </c>
      <c r="N1138" t="s">
        <v>44</v>
      </c>
      <c r="O1138" t="str">
        <f>"220.5/20814"</f>
        <v>220.5/20814</v>
      </c>
      <c r="Q1138" t="b">
        <v>0</v>
      </c>
      <c r="S1138" t="str">
        <f>"9780310448945"</f>
        <v>9780310448945</v>
      </c>
      <c r="T1138" t="str">
        <f>"9780310449072"</f>
        <v>9780310449072</v>
      </c>
      <c r="U1138" t="b">
        <v>0</v>
      </c>
      <c r="W1138" t="b">
        <v>0</v>
      </c>
    </row>
    <row r="1139" spans="1:23" x14ac:dyDescent="0.3">
      <c r="A1139">
        <v>2982248</v>
      </c>
      <c r="B1139">
        <v>17.73</v>
      </c>
      <c r="C1139" t="s">
        <v>2494</v>
      </c>
      <c r="D1139" t="s">
        <v>1416</v>
      </c>
      <c r="E1139" t="s">
        <v>23</v>
      </c>
      <c r="F1139" t="s">
        <v>44</v>
      </c>
      <c r="G1139">
        <v>2012</v>
      </c>
      <c r="H1139" t="s">
        <v>1105</v>
      </c>
      <c r="K1139" t="s">
        <v>25</v>
      </c>
      <c r="L1139" t="s">
        <v>30</v>
      </c>
      <c r="M1139" t="b">
        <v>1</v>
      </c>
      <c r="N1139" t="s">
        <v>44</v>
      </c>
      <c r="Q1139" t="b">
        <v>0</v>
      </c>
      <c r="T1139" t="str">
        <f>"9780310411376"</f>
        <v>9780310411376</v>
      </c>
      <c r="U1139" t="b">
        <v>0</v>
      </c>
      <c r="W1139" t="b">
        <v>0</v>
      </c>
    </row>
    <row r="1140" spans="1:23" x14ac:dyDescent="0.3">
      <c r="A1140">
        <v>2982247</v>
      </c>
      <c r="B1140">
        <v>71.03</v>
      </c>
      <c r="C1140" t="s">
        <v>2495</v>
      </c>
      <c r="D1140" t="s">
        <v>2496</v>
      </c>
      <c r="E1140" t="s">
        <v>23</v>
      </c>
      <c r="F1140" t="s">
        <v>44</v>
      </c>
      <c r="G1140">
        <v>2011</v>
      </c>
      <c r="H1140" t="s">
        <v>1349</v>
      </c>
      <c r="K1140" t="s">
        <v>25</v>
      </c>
      <c r="L1140" t="s">
        <v>30</v>
      </c>
      <c r="M1140" t="b">
        <v>1</v>
      </c>
      <c r="N1140" t="s">
        <v>2497</v>
      </c>
      <c r="Q1140" t="b">
        <v>0</v>
      </c>
      <c r="T1140" t="str">
        <f>"9780310442059"</f>
        <v>9780310442059</v>
      </c>
      <c r="U1140" t="b">
        <v>0</v>
      </c>
      <c r="W1140" t="b">
        <v>0</v>
      </c>
    </row>
    <row r="1141" spans="1:23" x14ac:dyDescent="0.3">
      <c r="A1141">
        <v>2982246</v>
      </c>
      <c r="B1141">
        <v>95.91</v>
      </c>
      <c r="C1141" t="s">
        <v>2498</v>
      </c>
      <c r="E1141" t="s">
        <v>23</v>
      </c>
      <c r="F1141" t="s">
        <v>44</v>
      </c>
      <c r="G1141">
        <v>2012</v>
      </c>
      <c r="H1141" t="s">
        <v>1349</v>
      </c>
      <c r="K1141" t="s">
        <v>25</v>
      </c>
      <c r="L1141" t="s">
        <v>30</v>
      </c>
      <c r="M1141" t="b">
        <v>1</v>
      </c>
      <c r="N1141" t="s">
        <v>44</v>
      </c>
      <c r="Q1141" t="b">
        <v>0</v>
      </c>
      <c r="T1141" t="str">
        <f>"9780310442288"</f>
        <v>9780310442288</v>
      </c>
      <c r="U1141" t="b">
        <v>0</v>
      </c>
      <c r="W1141" t="b">
        <v>0</v>
      </c>
    </row>
    <row r="1142" spans="1:23" x14ac:dyDescent="0.3">
      <c r="A1142">
        <v>2982245</v>
      </c>
      <c r="B1142">
        <v>39.049999999999997</v>
      </c>
      <c r="C1142" t="s">
        <v>2499</v>
      </c>
      <c r="E1142" t="s">
        <v>23</v>
      </c>
      <c r="F1142" t="s">
        <v>44</v>
      </c>
      <c r="G1142">
        <v>2012</v>
      </c>
      <c r="H1142" t="s">
        <v>881</v>
      </c>
      <c r="K1142" t="s">
        <v>25</v>
      </c>
      <c r="L1142" t="s">
        <v>30</v>
      </c>
      <c r="M1142" t="b">
        <v>1</v>
      </c>
      <c r="N1142" t="s">
        <v>44</v>
      </c>
      <c r="Q1142" t="b">
        <v>0</v>
      </c>
      <c r="T1142" t="str">
        <f>"9780310411161"</f>
        <v>9780310411161</v>
      </c>
      <c r="U1142" t="b">
        <v>0</v>
      </c>
      <c r="W1142" t="b">
        <v>0</v>
      </c>
    </row>
    <row r="1143" spans="1:23" x14ac:dyDescent="0.3">
      <c r="A1143">
        <v>2982244</v>
      </c>
      <c r="B1143">
        <v>107.97</v>
      </c>
      <c r="C1143" t="s">
        <v>2500</v>
      </c>
      <c r="D1143" t="s">
        <v>2501</v>
      </c>
      <c r="E1143" t="s">
        <v>23</v>
      </c>
      <c r="F1143" t="s">
        <v>44</v>
      </c>
      <c r="G1143">
        <v>2013</v>
      </c>
      <c r="H1143" t="s">
        <v>1105</v>
      </c>
      <c r="K1143" t="s">
        <v>25</v>
      </c>
      <c r="L1143" t="s">
        <v>26</v>
      </c>
      <c r="M1143" t="b">
        <v>1</v>
      </c>
      <c r="Q1143" t="b">
        <v>0</v>
      </c>
      <c r="T1143" t="str">
        <f>"9780310433668"</f>
        <v>9780310433668</v>
      </c>
      <c r="U1143" t="b">
        <v>0</v>
      </c>
      <c r="W1143" t="b">
        <v>0</v>
      </c>
    </row>
    <row r="1144" spans="1:23" x14ac:dyDescent="0.3">
      <c r="A1144">
        <v>2982243</v>
      </c>
      <c r="B1144">
        <v>55.17</v>
      </c>
      <c r="C1144" t="s">
        <v>2502</v>
      </c>
      <c r="D1144" t="s">
        <v>2503</v>
      </c>
      <c r="E1144" t="s">
        <v>23</v>
      </c>
      <c r="F1144" t="s">
        <v>44</v>
      </c>
      <c r="G1144">
        <v>2011</v>
      </c>
      <c r="H1144" t="s">
        <v>58</v>
      </c>
      <c r="K1144" t="s">
        <v>25</v>
      </c>
      <c r="L1144" t="s">
        <v>30</v>
      </c>
      <c r="M1144" t="b">
        <v>1</v>
      </c>
      <c r="N1144" t="s">
        <v>131</v>
      </c>
      <c r="Q1144" t="b">
        <v>0</v>
      </c>
      <c r="S1144" t="str">
        <f>"9780310333852"</f>
        <v>9780310333852</v>
      </c>
      <c r="T1144" t="str">
        <f>"9780310333869"</f>
        <v>9780310333869</v>
      </c>
      <c r="U1144" t="b">
        <v>0</v>
      </c>
      <c r="W1144" t="b">
        <v>0</v>
      </c>
    </row>
    <row r="1145" spans="1:23" x14ac:dyDescent="0.3">
      <c r="A1145">
        <v>2982242</v>
      </c>
      <c r="B1145">
        <v>44.82</v>
      </c>
      <c r="C1145" t="s">
        <v>2504</v>
      </c>
      <c r="E1145" t="s">
        <v>23</v>
      </c>
      <c r="F1145" t="s">
        <v>44</v>
      </c>
      <c r="G1145">
        <v>2009</v>
      </c>
      <c r="H1145" t="s">
        <v>66</v>
      </c>
      <c r="K1145" t="s">
        <v>25</v>
      </c>
      <c r="L1145" t="s">
        <v>30</v>
      </c>
      <c r="M1145" t="b">
        <v>1</v>
      </c>
      <c r="N1145" t="s">
        <v>77</v>
      </c>
      <c r="P1145" t="s">
        <v>2373</v>
      </c>
      <c r="Q1145" t="b">
        <v>1</v>
      </c>
      <c r="S1145" t="str">
        <f>"9780310217589"</f>
        <v>9780310217589</v>
      </c>
      <c r="T1145" t="str">
        <f>"9780310860242"</f>
        <v>9780310860242</v>
      </c>
      <c r="U1145" t="b">
        <v>0</v>
      </c>
      <c r="W1145" t="b">
        <v>0</v>
      </c>
    </row>
    <row r="1146" spans="1:23" x14ac:dyDescent="0.3">
      <c r="A1146">
        <v>2982241</v>
      </c>
      <c r="B1146">
        <v>56.82</v>
      </c>
      <c r="C1146" t="s">
        <v>2505</v>
      </c>
      <c r="E1146" t="s">
        <v>23</v>
      </c>
      <c r="F1146" t="s">
        <v>44</v>
      </c>
      <c r="G1146">
        <v>2013</v>
      </c>
      <c r="H1146" t="s">
        <v>1384</v>
      </c>
      <c r="K1146" t="s">
        <v>25</v>
      </c>
      <c r="L1146" t="s">
        <v>30</v>
      </c>
      <c r="M1146" t="b">
        <v>1</v>
      </c>
      <c r="N1146" t="s">
        <v>2506</v>
      </c>
      <c r="Q1146" t="b">
        <v>0</v>
      </c>
      <c r="T1146" t="str">
        <f>"9780310421085"</f>
        <v>9780310421085</v>
      </c>
      <c r="U1146" t="b">
        <v>0</v>
      </c>
      <c r="W1146" t="b">
        <v>0</v>
      </c>
    </row>
    <row r="1147" spans="1:23" x14ac:dyDescent="0.3">
      <c r="A1147">
        <v>2982240</v>
      </c>
      <c r="B1147">
        <v>71.03</v>
      </c>
      <c r="C1147" t="s">
        <v>2507</v>
      </c>
      <c r="D1147" t="s">
        <v>2508</v>
      </c>
      <c r="E1147" t="s">
        <v>23</v>
      </c>
      <c r="F1147" t="s">
        <v>44</v>
      </c>
      <c r="G1147">
        <v>2012</v>
      </c>
      <c r="H1147" t="s">
        <v>2225</v>
      </c>
      <c r="K1147" t="s">
        <v>25</v>
      </c>
      <c r="L1147" t="s">
        <v>26</v>
      </c>
      <c r="M1147" t="b">
        <v>1</v>
      </c>
      <c r="N1147" t="s">
        <v>2509</v>
      </c>
      <c r="Q1147" t="b">
        <v>0</v>
      </c>
      <c r="T1147" t="str">
        <f>"9780310599937"</f>
        <v>9780310599937</v>
      </c>
      <c r="U1147" t="b">
        <v>0</v>
      </c>
      <c r="W1147" t="b">
        <v>0</v>
      </c>
    </row>
    <row r="1148" spans="1:23" x14ac:dyDescent="0.3">
      <c r="A1148">
        <v>2982239</v>
      </c>
      <c r="B1148">
        <v>79.319999999999993</v>
      </c>
      <c r="C1148" t="s">
        <v>2510</v>
      </c>
      <c r="D1148" t="s">
        <v>2511</v>
      </c>
      <c r="E1148" t="s">
        <v>23</v>
      </c>
      <c r="F1148" t="s">
        <v>44</v>
      </c>
      <c r="G1148">
        <v>2019</v>
      </c>
      <c r="H1148" t="s">
        <v>132</v>
      </c>
      <c r="K1148" t="s">
        <v>25</v>
      </c>
      <c r="L1148" t="s">
        <v>26</v>
      </c>
      <c r="M1148" t="b">
        <v>1</v>
      </c>
      <c r="N1148" t="s">
        <v>2512</v>
      </c>
      <c r="Q1148" t="b">
        <v>0</v>
      </c>
      <c r="S1148" t="str">
        <f>"9780310453581"</f>
        <v>9780310453581</v>
      </c>
      <c r="T1148" t="str">
        <f>"9780310453642"</f>
        <v>9780310453642</v>
      </c>
      <c r="U1148" t="b">
        <v>0</v>
      </c>
      <c r="W1148" t="b">
        <v>0</v>
      </c>
    </row>
    <row r="1149" spans="1:23" x14ac:dyDescent="0.3">
      <c r="A1149">
        <v>2982238</v>
      </c>
      <c r="B1149">
        <v>86.22</v>
      </c>
      <c r="C1149" t="s">
        <v>2513</v>
      </c>
      <c r="D1149" t="s">
        <v>2514</v>
      </c>
      <c r="E1149" t="s">
        <v>23</v>
      </c>
      <c r="F1149" t="s">
        <v>44</v>
      </c>
      <c r="G1149">
        <v>2015</v>
      </c>
      <c r="H1149" t="s">
        <v>1349</v>
      </c>
      <c r="K1149" t="s">
        <v>25</v>
      </c>
      <c r="L1149" t="s">
        <v>26</v>
      </c>
      <c r="M1149" t="b">
        <v>1</v>
      </c>
      <c r="N1149" t="s">
        <v>44</v>
      </c>
      <c r="Q1149" t="b">
        <v>0</v>
      </c>
      <c r="S1149" t="str">
        <f>"9780310439400"</f>
        <v>9780310439400</v>
      </c>
      <c r="T1149" t="str">
        <f>"9780310444336"</f>
        <v>9780310444336</v>
      </c>
      <c r="U1149" t="b">
        <v>0</v>
      </c>
      <c r="W1149" t="b">
        <v>0</v>
      </c>
    </row>
    <row r="1150" spans="1:23" x14ac:dyDescent="0.3">
      <c r="A1150">
        <v>2982237</v>
      </c>
      <c r="B1150">
        <v>99.46</v>
      </c>
      <c r="C1150" t="s">
        <v>2515</v>
      </c>
      <c r="E1150" t="s">
        <v>23</v>
      </c>
      <c r="F1150" t="s">
        <v>44</v>
      </c>
      <c r="G1150">
        <v>2013</v>
      </c>
      <c r="H1150" t="s">
        <v>2516</v>
      </c>
      <c r="K1150" t="s">
        <v>25</v>
      </c>
      <c r="L1150" t="s">
        <v>30</v>
      </c>
      <c r="M1150" t="b">
        <v>1</v>
      </c>
      <c r="N1150" t="s">
        <v>44</v>
      </c>
      <c r="Q1150" t="b">
        <v>0</v>
      </c>
      <c r="T1150" t="str">
        <f>"9780310431497"</f>
        <v>9780310431497</v>
      </c>
      <c r="U1150" t="b">
        <v>0</v>
      </c>
      <c r="W1150" t="b">
        <v>0</v>
      </c>
    </row>
    <row r="1151" spans="1:23" x14ac:dyDescent="0.3">
      <c r="A1151">
        <v>2982236</v>
      </c>
      <c r="B1151">
        <v>10.32</v>
      </c>
      <c r="C1151" t="s">
        <v>2517</v>
      </c>
      <c r="E1151" t="s">
        <v>23</v>
      </c>
      <c r="F1151" t="s">
        <v>44</v>
      </c>
      <c r="G1151">
        <v>2013</v>
      </c>
      <c r="H1151" t="s">
        <v>1205</v>
      </c>
      <c r="K1151" t="s">
        <v>25</v>
      </c>
      <c r="L1151" t="s">
        <v>26</v>
      </c>
      <c r="M1151" t="b">
        <v>1</v>
      </c>
      <c r="N1151" t="s">
        <v>1270</v>
      </c>
      <c r="Q1151" t="b">
        <v>0</v>
      </c>
      <c r="S1151" t="str">
        <f>"9780310421320"</f>
        <v>9780310421320</v>
      </c>
      <c r="T1151" t="str">
        <f>"9780310421344"</f>
        <v>9780310421344</v>
      </c>
      <c r="U1151" t="b">
        <v>0</v>
      </c>
      <c r="W1151" t="b">
        <v>0</v>
      </c>
    </row>
    <row r="1152" spans="1:23" x14ac:dyDescent="0.3">
      <c r="A1152">
        <v>2982235</v>
      </c>
      <c r="B1152">
        <v>120.72</v>
      </c>
      <c r="C1152" t="s">
        <v>2518</v>
      </c>
      <c r="D1152" t="s">
        <v>2519</v>
      </c>
      <c r="E1152" t="s">
        <v>23</v>
      </c>
      <c r="F1152" t="s">
        <v>44</v>
      </c>
      <c r="G1152">
        <v>2019</v>
      </c>
      <c r="H1152" t="s">
        <v>1105</v>
      </c>
      <c r="K1152" t="s">
        <v>25</v>
      </c>
      <c r="L1152" t="s">
        <v>26</v>
      </c>
      <c r="M1152" t="b">
        <v>1</v>
      </c>
      <c r="N1152" t="s">
        <v>44</v>
      </c>
      <c r="Q1152" t="b">
        <v>0</v>
      </c>
      <c r="S1152" t="str">
        <f>"9780310450672"</f>
        <v>9780310450672</v>
      </c>
      <c r="T1152" t="str">
        <f>"9780310450740"</f>
        <v>9780310450740</v>
      </c>
      <c r="U1152" t="b">
        <v>0</v>
      </c>
      <c r="W1152" t="b">
        <v>0</v>
      </c>
    </row>
    <row r="1153" spans="1:23" x14ac:dyDescent="0.3">
      <c r="A1153">
        <v>2982234</v>
      </c>
      <c r="B1153">
        <v>3.52</v>
      </c>
      <c r="C1153" t="s">
        <v>2520</v>
      </c>
      <c r="D1153" t="s">
        <v>1416</v>
      </c>
      <c r="E1153" t="s">
        <v>23</v>
      </c>
      <c r="F1153" t="s">
        <v>44</v>
      </c>
      <c r="G1153">
        <v>2012</v>
      </c>
      <c r="H1153" t="s">
        <v>1105</v>
      </c>
      <c r="K1153" t="s">
        <v>25</v>
      </c>
      <c r="L1153" t="s">
        <v>30</v>
      </c>
      <c r="M1153" t="b">
        <v>1</v>
      </c>
      <c r="N1153" t="s">
        <v>44</v>
      </c>
      <c r="Q1153" t="b">
        <v>0</v>
      </c>
      <c r="T1153" t="str">
        <f>"9780310411369"</f>
        <v>9780310411369</v>
      </c>
      <c r="U1153" t="b">
        <v>0</v>
      </c>
      <c r="W1153" t="b">
        <v>0</v>
      </c>
    </row>
    <row r="1154" spans="1:23" x14ac:dyDescent="0.3">
      <c r="A1154">
        <v>2982233</v>
      </c>
      <c r="B1154">
        <v>3.52</v>
      </c>
      <c r="C1154" t="s">
        <v>2521</v>
      </c>
      <c r="E1154" t="s">
        <v>23</v>
      </c>
      <c r="F1154" t="s">
        <v>44</v>
      </c>
      <c r="G1154">
        <v>2011</v>
      </c>
      <c r="H1154" t="s">
        <v>1349</v>
      </c>
      <c r="K1154" t="s">
        <v>25</v>
      </c>
      <c r="L1154" t="s">
        <v>30</v>
      </c>
      <c r="M1154" t="b">
        <v>1</v>
      </c>
      <c r="N1154" t="s">
        <v>44</v>
      </c>
      <c r="Q1154" t="b">
        <v>0</v>
      </c>
      <c r="T1154" t="str">
        <f>"9780310442097"</f>
        <v>9780310442097</v>
      </c>
      <c r="U1154" t="b">
        <v>0</v>
      </c>
      <c r="W1154" t="b">
        <v>0</v>
      </c>
    </row>
    <row r="1155" spans="1:23" x14ac:dyDescent="0.3">
      <c r="A1155">
        <v>2982232</v>
      </c>
      <c r="B1155">
        <v>44.82</v>
      </c>
      <c r="C1155" t="s">
        <v>2522</v>
      </c>
      <c r="D1155" t="s">
        <v>2523</v>
      </c>
      <c r="E1155" t="s">
        <v>23</v>
      </c>
      <c r="F1155" t="s">
        <v>44</v>
      </c>
      <c r="G1155">
        <v>2012</v>
      </c>
      <c r="H1155" t="s">
        <v>168</v>
      </c>
      <c r="K1155" t="s">
        <v>25</v>
      </c>
      <c r="L1155" t="s">
        <v>30</v>
      </c>
      <c r="M1155" t="b">
        <v>1</v>
      </c>
      <c r="N1155" t="s">
        <v>2524</v>
      </c>
      <c r="Q1155" t="b">
        <v>0</v>
      </c>
      <c r="S1155" t="str">
        <f>"9780310726067"</f>
        <v>9780310726067</v>
      </c>
      <c r="T1155" t="str">
        <f>"9780310726074"</f>
        <v>9780310726074</v>
      </c>
      <c r="U1155" t="b">
        <v>0</v>
      </c>
      <c r="W1155" t="b">
        <v>0</v>
      </c>
    </row>
    <row r="1156" spans="1:23" x14ac:dyDescent="0.3">
      <c r="A1156">
        <v>2982230</v>
      </c>
      <c r="B1156">
        <v>99.46</v>
      </c>
      <c r="C1156" t="s">
        <v>2525</v>
      </c>
      <c r="D1156" t="s">
        <v>2526</v>
      </c>
      <c r="E1156" t="s">
        <v>23</v>
      </c>
      <c r="F1156" t="s">
        <v>44</v>
      </c>
      <c r="G1156">
        <v>2016</v>
      </c>
      <c r="H1156" t="s">
        <v>1105</v>
      </c>
      <c r="K1156" t="s">
        <v>25</v>
      </c>
      <c r="L1156" t="s">
        <v>26</v>
      </c>
      <c r="M1156" t="b">
        <v>1</v>
      </c>
      <c r="N1156" t="s">
        <v>44</v>
      </c>
      <c r="Q1156" t="b">
        <v>0</v>
      </c>
      <c r="T1156" t="str">
        <f>"9780310434122"</f>
        <v>9780310434122</v>
      </c>
      <c r="U1156" t="b">
        <v>0</v>
      </c>
      <c r="W1156" t="b">
        <v>0</v>
      </c>
    </row>
    <row r="1157" spans="1:23" x14ac:dyDescent="0.3">
      <c r="A1157">
        <v>2982229</v>
      </c>
      <c r="B1157">
        <v>51.72</v>
      </c>
      <c r="C1157" t="s">
        <v>2527</v>
      </c>
      <c r="D1157" t="s">
        <v>2528</v>
      </c>
      <c r="E1157" t="s">
        <v>23</v>
      </c>
      <c r="F1157" t="s">
        <v>44</v>
      </c>
      <c r="G1157">
        <v>2017</v>
      </c>
      <c r="H1157" t="s">
        <v>2232</v>
      </c>
      <c r="K1157" t="s">
        <v>25</v>
      </c>
      <c r="L1157" t="s">
        <v>26</v>
      </c>
      <c r="M1157" t="b">
        <v>1</v>
      </c>
      <c r="N1157" t="s">
        <v>44</v>
      </c>
      <c r="P1157" t="s">
        <v>1319</v>
      </c>
      <c r="Q1157" t="b">
        <v>0</v>
      </c>
      <c r="S1157" t="str">
        <f>"9780310448044"</f>
        <v>9780310448044</v>
      </c>
      <c r="T1157" t="str">
        <f>"9780310448099"</f>
        <v>9780310448099</v>
      </c>
      <c r="U1157" t="b">
        <v>0</v>
      </c>
      <c r="W1157" t="b">
        <v>0</v>
      </c>
    </row>
    <row r="1158" spans="1:23" x14ac:dyDescent="0.3">
      <c r="A1158">
        <v>2982228</v>
      </c>
      <c r="B1158">
        <v>3.52</v>
      </c>
      <c r="C1158" t="s">
        <v>2529</v>
      </c>
      <c r="D1158" t="s">
        <v>1416</v>
      </c>
      <c r="E1158" t="s">
        <v>23</v>
      </c>
      <c r="F1158" t="s">
        <v>44</v>
      </c>
      <c r="G1158">
        <v>2012</v>
      </c>
      <c r="H1158" t="s">
        <v>1105</v>
      </c>
      <c r="K1158" t="s">
        <v>25</v>
      </c>
      <c r="L1158" t="s">
        <v>30</v>
      </c>
      <c r="M1158" t="b">
        <v>1</v>
      </c>
      <c r="N1158" t="s">
        <v>44</v>
      </c>
      <c r="Q1158" t="b">
        <v>0</v>
      </c>
      <c r="T1158" t="str">
        <f>"9780310411345"</f>
        <v>9780310411345</v>
      </c>
      <c r="U1158" t="b">
        <v>0</v>
      </c>
      <c r="W1158" t="b">
        <v>0</v>
      </c>
    </row>
    <row r="1159" spans="1:23" x14ac:dyDescent="0.3">
      <c r="A1159">
        <v>2982227</v>
      </c>
      <c r="B1159">
        <v>51.72</v>
      </c>
      <c r="C1159" t="s">
        <v>2530</v>
      </c>
      <c r="D1159" t="s">
        <v>1405</v>
      </c>
      <c r="E1159" t="s">
        <v>23</v>
      </c>
      <c r="F1159" t="s">
        <v>44</v>
      </c>
      <c r="G1159">
        <v>2012</v>
      </c>
      <c r="H1159" t="s">
        <v>74</v>
      </c>
      <c r="K1159" t="s">
        <v>25</v>
      </c>
      <c r="L1159" t="s">
        <v>30</v>
      </c>
      <c r="M1159" t="b">
        <v>1</v>
      </c>
      <c r="N1159" t="s">
        <v>2531</v>
      </c>
      <c r="Q1159" t="b">
        <v>1</v>
      </c>
      <c r="S1159" t="str">
        <f>"9780310281528"</f>
        <v>9780310281528</v>
      </c>
      <c r="T1159" t="str">
        <f>"9780310413332"</f>
        <v>9780310413332</v>
      </c>
      <c r="U1159" t="b">
        <v>0</v>
      </c>
      <c r="W1159" t="b">
        <v>0</v>
      </c>
    </row>
    <row r="1160" spans="1:23" x14ac:dyDescent="0.3">
      <c r="A1160">
        <v>2982226</v>
      </c>
      <c r="B1160">
        <v>44.82</v>
      </c>
      <c r="C1160" t="s">
        <v>2532</v>
      </c>
      <c r="E1160" t="s">
        <v>23</v>
      </c>
      <c r="F1160" t="s">
        <v>44</v>
      </c>
      <c r="G1160">
        <v>2009</v>
      </c>
      <c r="H1160" t="s">
        <v>728</v>
      </c>
      <c r="K1160" t="s">
        <v>25</v>
      </c>
      <c r="L1160" t="s">
        <v>30</v>
      </c>
      <c r="M1160" t="b">
        <v>1</v>
      </c>
      <c r="N1160" t="s">
        <v>741</v>
      </c>
      <c r="P1160" t="s">
        <v>2533</v>
      </c>
      <c r="Q1160" t="b">
        <v>1</v>
      </c>
      <c r="S1160" t="str">
        <f>"9780310235552"</f>
        <v>9780310235552</v>
      </c>
      <c r="T1160" t="str">
        <f>"9780310859949"</f>
        <v>9780310859949</v>
      </c>
      <c r="U1160" t="b">
        <v>0</v>
      </c>
      <c r="W1160" t="b">
        <v>0</v>
      </c>
    </row>
    <row r="1161" spans="1:23" x14ac:dyDescent="0.3">
      <c r="A1161">
        <v>2982225</v>
      </c>
      <c r="B1161">
        <v>86.22</v>
      </c>
      <c r="C1161" t="s">
        <v>2534</v>
      </c>
      <c r="D1161" t="s">
        <v>1405</v>
      </c>
      <c r="E1161" t="s">
        <v>23</v>
      </c>
      <c r="F1161" t="s">
        <v>44</v>
      </c>
      <c r="G1161">
        <v>2010</v>
      </c>
      <c r="H1161" t="s">
        <v>2535</v>
      </c>
      <c r="K1161" t="s">
        <v>25</v>
      </c>
      <c r="L1161" t="s">
        <v>30</v>
      </c>
      <c r="M1161" t="b">
        <v>1</v>
      </c>
      <c r="N1161" t="s">
        <v>2309</v>
      </c>
      <c r="Q1161" t="b">
        <v>1</v>
      </c>
      <c r="S1161" t="str">
        <f>"9780310327349"</f>
        <v>9780310327349</v>
      </c>
      <c r="T1161" t="str">
        <f>"9780310590422"</f>
        <v>9780310590422</v>
      </c>
      <c r="U1161" t="b">
        <v>0</v>
      </c>
      <c r="W1161" t="b">
        <v>0</v>
      </c>
    </row>
    <row r="1162" spans="1:23" x14ac:dyDescent="0.3">
      <c r="A1162">
        <v>2982224</v>
      </c>
      <c r="B1162">
        <v>53.27</v>
      </c>
      <c r="C1162" t="s">
        <v>2536</v>
      </c>
      <c r="D1162" t="s">
        <v>2537</v>
      </c>
      <c r="E1162" t="s">
        <v>23</v>
      </c>
      <c r="F1162" t="s">
        <v>44</v>
      </c>
      <c r="G1162">
        <v>2011</v>
      </c>
      <c r="H1162" t="s">
        <v>1349</v>
      </c>
      <c r="K1162" t="s">
        <v>25</v>
      </c>
      <c r="L1162" t="s">
        <v>30</v>
      </c>
      <c r="M1162" t="b">
        <v>1</v>
      </c>
      <c r="N1162" t="s">
        <v>44</v>
      </c>
      <c r="Q1162" t="b">
        <v>0</v>
      </c>
      <c r="T1162" t="str">
        <f>"9780310441991"</f>
        <v>9780310441991</v>
      </c>
      <c r="U1162" t="b">
        <v>0</v>
      </c>
      <c r="W1162" t="b">
        <v>0</v>
      </c>
    </row>
    <row r="1163" spans="1:23" x14ac:dyDescent="0.3">
      <c r="A1163">
        <v>2982223</v>
      </c>
      <c r="B1163">
        <v>142.1</v>
      </c>
      <c r="C1163" t="s">
        <v>2538</v>
      </c>
      <c r="D1163" t="s">
        <v>2539</v>
      </c>
      <c r="E1163" t="s">
        <v>23</v>
      </c>
      <c r="F1163" t="s">
        <v>44</v>
      </c>
      <c r="G1163">
        <v>2013</v>
      </c>
      <c r="H1163" t="s">
        <v>1384</v>
      </c>
      <c r="K1163" t="s">
        <v>25</v>
      </c>
      <c r="L1163" t="s">
        <v>26</v>
      </c>
      <c r="M1163" t="b">
        <v>1</v>
      </c>
      <c r="N1163" t="s">
        <v>2540</v>
      </c>
      <c r="Q1163" t="b">
        <v>0</v>
      </c>
      <c r="T1163" t="str">
        <f>"9780310429456"</f>
        <v>9780310429456</v>
      </c>
      <c r="U1163" t="b">
        <v>0</v>
      </c>
      <c r="W1163" t="b">
        <v>0</v>
      </c>
    </row>
    <row r="1164" spans="1:23" x14ac:dyDescent="0.3">
      <c r="A1164">
        <v>2982222</v>
      </c>
      <c r="B1164">
        <v>34.47</v>
      </c>
      <c r="C1164" t="s">
        <v>2541</v>
      </c>
      <c r="D1164" t="s">
        <v>2542</v>
      </c>
      <c r="E1164" t="s">
        <v>23</v>
      </c>
      <c r="F1164" t="s">
        <v>44</v>
      </c>
      <c r="G1164">
        <v>2009</v>
      </c>
      <c r="H1164" t="s">
        <v>736</v>
      </c>
      <c r="I1164" t="s">
        <v>2543</v>
      </c>
      <c r="J1164" t="s">
        <v>2544</v>
      </c>
      <c r="K1164" t="s">
        <v>25</v>
      </c>
      <c r="L1164" t="s">
        <v>30</v>
      </c>
      <c r="M1164" t="b">
        <v>1</v>
      </c>
      <c r="N1164" t="s">
        <v>2545</v>
      </c>
      <c r="O1164" t="str">
        <f>"658.153"</f>
        <v>658.153</v>
      </c>
      <c r="Q1164" t="b">
        <v>0</v>
      </c>
      <c r="S1164" t="str">
        <f>"9780310324997"</f>
        <v>9780310324997</v>
      </c>
      <c r="T1164" t="str">
        <f>"9780310317876"</f>
        <v>9780310317876</v>
      </c>
      <c r="U1164" t="b">
        <v>0</v>
      </c>
      <c r="W1164" t="b">
        <v>0</v>
      </c>
    </row>
    <row r="1165" spans="1:23" x14ac:dyDescent="0.3">
      <c r="A1165">
        <v>2982221</v>
      </c>
      <c r="B1165">
        <v>10.63</v>
      </c>
      <c r="C1165" t="s">
        <v>2546</v>
      </c>
      <c r="E1165" t="s">
        <v>23</v>
      </c>
      <c r="F1165" t="s">
        <v>44</v>
      </c>
      <c r="G1165">
        <v>2016</v>
      </c>
      <c r="H1165" t="s">
        <v>748</v>
      </c>
      <c r="K1165" t="s">
        <v>25</v>
      </c>
      <c r="L1165" t="s">
        <v>30</v>
      </c>
      <c r="M1165" t="b">
        <v>1</v>
      </c>
      <c r="N1165" t="s">
        <v>44</v>
      </c>
      <c r="Q1165" t="b">
        <v>0</v>
      </c>
      <c r="T1165" t="str">
        <f>"9780310752172"</f>
        <v>9780310752172</v>
      </c>
      <c r="U1165" t="b">
        <v>0</v>
      </c>
      <c r="W1165" t="b">
        <v>0</v>
      </c>
    </row>
    <row r="1166" spans="1:23" x14ac:dyDescent="0.3">
      <c r="A1166">
        <v>2982220</v>
      </c>
      <c r="B1166">
        <v>42.61</v>
      </c>
      <c r="C1166" t="s">
        <v>2547</v>
      </c>
      <c r="D1166" t="s">
        <v>2548</v>
      </c>
      <c r="E1166" t="s">
        <v>23</v>
      </c>
      <c r="F1166" t="s">
        <v>44</v>
      </c>
      <c r="G1166">
        <v>2011</v>
      </c>
      <c r="H1166" t="s">
        <v>1349</v>
      </c>
      <c r="K1166" t="s">
        <v>25</v>
      </c>
      <c r="L1166" t="s">
        <v>30</v>
      </c>
      <c r="M1166" t="b">
        <v>1</v>
      </c>
      <c r="N1166" t="s">
        <v>44</v>
      </c>
      <c r="Q1166" t="b">
        <v>0</v>
      </c>
      <c r="T1166" t="str">
        <f>"9780310441977"</f>
        <v>9780310441977</v>
      </c>
      <c r="U1166" t="b">
        <v>0</v>
      </c>
      <c r="W1166" t="b">
        <v>0</v>
      </c>
    </row>
    <row r="1167" spans="1:23" x14ac:dyDescent="0.3">
      <c r="A1167">
        <v>2982219</v>
      </c>
      <c r="B1167">
        <v>89.67</v>
      </c>
      <c r="C1167" t="s">
        <v>2549</v>
      </c>
      <c r="D1167" t="s">
        <v>2550</v>
      </c>
      <c r="E1167" t="s">
        <v>23</v>
      </c>
      <c r="F1167" t="s">
        <v>44</v>
      </c>
      <c r="G1167">
        <v>2020</v>
      </c>
      <c r="H1167" t="s">
        <v>2551</v>
      </c>
      <c r="K1167" t="s">
        <v>25</v>
      </c>
      <c r="L1167" t="s">
        <v>26</v>
      </c>
      <c r="M1167" t="b">
        <v>1</v>
      </c>
      <c r="N1167" t="s">
        <v>2552</v>
      </c>
      <c r="Q1167" t="b">
        <v>0</v>
      </c>
      <c r="S1167" t="str">
        <f>"9780310358831"</f>
        <v>9780310358831</v>
      </c>
      <c r="T1167" t="str">
        <f>"9780310358848"</f>
        <v>9780310358848</v>
      </c>
      <c r="U1167" t="b">
        <v>0</v>
      </c>
      <c r="W1167" t="b">
        <v>0</v>
      </c>
    </row>
    <row r="1168" spans="1:23" x14ac:dyDescent="0.3">
      <c r="A1168">
        <v>2982215</v>
      </c>
      <c r="B1168">
        <v>35.5</v>
      </c>
      <c r="C1168" t="s">
        <v>2553</v>
      </c>
      <c r="E1168" t="s">
        <v>23</v>
      </c>
      <c r="F1168" t="s">
        <v>44</v>
      </c>
      <c r="G1168">
        <v>2013</v>
      </c>
      <c r="H1168" t="s">
        <v>62</v>
      </c>
      <c r="K1168" t="s">
        <v>25</v>
      </c>
      <c r="L1168" t="s">
        <v>30</v>
      </c>
      <c r="M1168" t="b">
        <v>1</v>
      </c>
      <c r="N1168" t="s">
        <v>2554</v>
      </c>
      <c r="Q1168" t="b">
        <v>0</v>
      </c>
      <c r="T1168" t="str">
        <f>"9780310411185"</f>
        <v>9780310411185</v>
      </c>
      <c r="U1168" t="b">
        <v>0</v>
      </c>
      <c r="W1168" t="b">
        <v>0</v>
      </c>
    </row>
    <row r="1169" spans="1:23" x14ac:dyDescent="0.3">
      <c r="A1169">
        <v>2982214</v>
      </c>
      <c r="B1169">
        <v>55.17</v>
      </c>
      <c r="C1169" t="s">
        <v>2555</v>
      </c>
      <c r="D1169" t="s">
        <v>2556</v>
      </c>
      <c r="E1169" t="s">
        <v>23</v>
      </c>
      <c r="F1169" t="s">
        <v>44</v>
      </c>
      <c r="G1169">
        <v>2018</v>
      </c>
      <c r="H1169" t="s">
        <v>62</v>
      </c>
      <c r="K1169" t="s">
        <v>25</v>
      </c>
      <c r="L1169" t="s">
        <v>26</v>
      </c>
      <c r="M1169" t="b">
        <v>1</v>
      </c>
      <c r="N1169" t="s">
        <v>131</v>
      </c>
      <c r="Q1169" t="b">
        <v>0</v>
      </c>
      <c r="S1169" t="str">
        <f>"9780310091936"</f>
        <v>9780310091936</v>
      </c>
      <c r="T1169" t="str">
        <f>"9780310092933"</f>
        <v>9780310092933</v>
      </c>
      <c r="U1169" t="b">
        <v>0</v>
      </c>
      <c r="W1169" t="b">
        <v>0</v>
      </c>
    </row>
    <row r="1170" spans="1:23" x14ac:dyDescent="0.3">
      <c r="A1170">
        <v>2982213</v>
      </c>
      <c r="B1170">
        <v>155.22</v>
      </c>
      <c r="C1170" t="s">
        <v>2557</v>
      </c>
      <c r="D1170" t="s">
        <v>2558</v>
      </c>
      <c r="E1170" t="s">
        <v>23</v>
      </c>
      <c r="F1170" t="s">
        <v>44</v>
      </c>
      <c r="G1170">
        <v>2019</v>
      </c>
      <c r="H1170" t="s">
        <v>1105</v>
      </c>
      <c r="K1170" t="s">
        <v>25</v>
      </c>
      <c r="L1170" t="s">
        <v>145</v>
      </c>
      <c r="M1170" t="b">
        <v>1</v>
      </c>
      <c r="N1170" t="s">
        <v>44</v>
      </c>
      <c r="Q1170" t="b">
        <v>0</v>
      </c>
      <c r="S1170" t="str">
        <f>"9780310450818"</f>
        <v>9780310450818</v>
      </c>
      <c r="T1170" t="str">
        <f>"9780310450887"</f>
        <v>9780310450887</v>
      </c>
      <c r="U1170" t="b">
        <v>0</v>
      </c>
      <c r="W1170" t="b">
        <v>0</v>
      </c>
    </row>
    <row r="1171" spans="1:23" x14ac:dyDescent="0.3">
      <c r="A1171">
        <v>2982212</v>
      </c>
      <c r="B1171">
        <v>51.72</v>
      </c>
      <c r="C1171" t="s">
        <v>2559</v>
      </c>
      <c r="D1171" t="s">
        <v>2560</v>
      </c>
      <c r="E1171" t="s">
        <v>23</v>
      </c>
      <c r="F1171" t="s">
        <v>44</v>
      </c>
      <c r="G1171">
        <v>2017</v>
      </c>
      <c r="H1171" t="s">
        <v>2232</v>
      </c>
      <c r="K1171" t="s">
        <v>25</v>
      </c>
      <c r="L1171" t="s">
        <v>26</v>
      </c>
      <c r="M1171" t="b">
        <v>1</v>
      </c>
      <c r="N1171" t="s">
        <v>44</v>
      </c>
      <c r="P1171" t="s">
        <v>1319</v>
      </c>
      <c r="Q1171" t="b">
        <v>0</v>
      </c>
      <c r="S1171" t="str">
        <f>"9780310448037"</f>
        <v>9780310448037</v>
      </c>
      <c r="T1171" t="str">
        <f>"9780310448082"</f>
        <v>9780310448082</v>
      </c>
      <c r="U1171" t="b">
        <v>0</v>
      </c>
      <c r="W1171" t="b">
        <v>0</v>
      </c>
    </row>
    <row r="1172" spans="1:23" x14ac:dyDescent="0.3">
      <c r="A1172">
        <v>2982211</v>
      </c>
      <c r="B1172">
        <v>51.72</v>
      </c>
      <c r="C1172" t="s">
        <v>2561</v>
      </c>
      <c r="D1172" t="s">
        <v>2562</v>
      </c>
      <c r="E1172" t="s">
        <v>23</v>
      </c>
      <c r="F1172" t="s">
        <v>44</v>
      </c>
      <c r="G1172">
        <v>2017</v>
      </c>
      <c r="H1172" t="s">
        <v>2232</v>
      </c>
      <c r="K1172" t="s">
        <v>25</v>
      </c>
      <c r="L1172" t="s">
        <v>26</v>
      </c>
      <c r="M1172" t="b">
        <v>1</v>
      </c>
      <c r="N1172" t="s">
        <v>44</v>
      </c>
      <c r="P1172" t="s">
        <v>1319</v>
      </c>
      <c r="Q1172" t="b">
        <v>0</v>
      </c>
      <c r="S1172" t="str">
        <f>"9780310448020"</f>
        <v>9780310448020</v>
      </c>
      <c r="T1172" t="str">
        <f>"9780310448068"</f>
        <v>9780310448068</v>
      </c>
      <c r="U1172" t="b">
        <v>0</v>
      </c>
      <c r="W1172" t="b">
        <v>0</v>
      </c>
    </row>
    <row r="1173" spans="1:23" x14ac:dyDescent="0.3">
      <c r="A1173">
        <v>2982210</v>
      </c>
      <c r="B1173">
        <v>93.12</v>
      </c>
      <c r="C1173" t="s">
        <v>2563</v>
      </c>
      <c r="D1173" t="s">
        <v>2564</v>
      </c>
      <c r="E1173" t="s">
        <v>23</v>
      </c>
      <c r="F1173" t="s">
        <v>44</v>
      </c>
      <c r="G1173">
        <v>2021</v>
      </c>
      <c r="H1173" t="s">
        <v>731</v>
      </c>
      <c r="K1173" t="s">
        <v>25</v>
      </c>
      <c r="L1173" t="s">
        <v>26</v>
      </c>
      <c r="M1173" t="b">
        <v>1</v>
      </c>
      <c r="N1173" t="s">
        <v>2565</v>
      </c>
      <c r="Q1173" t="b">
        <v>0</v>
      </c>
      <c r="S1173" t="str">
        <f>"9780310362395"</f>
        <v>9780310362395</v>
      </c>
      <c r="T1173" t="str">
        <f>"9780310362463"</f>
        <v>9780310362463</v>
      </c>
      <c r="U1173" t="b">
        <v>0</v>
      </c>
      <c r="W1173" t="b">
        <v>0</v>
      </c>
    </row>
    <row r="1174" spans="1:23" x14ac:dyDescent="0.3">
      <c r="A1174">
        <v>2982209</v>
      </c>
      <c r="B1174">
        <v>17.73</v>
      </c>
      <c r="C1174" t="s">
        <v>2566</v>
      </c>
      <c r="E1174" t="s">
        <v>23</v>
      </c>
      <c r="F1174" t="s">
        <v>44</v>
      </c>
      <c r="G1174">
        <v>2012</v>
      </c>
      <c r="H1174" t="s">
        <v>62</v>
      </c>
      <c r="K1174" t="s">
        <v>25</v>
      </c>
      <c r="L1174" t="s">
        <v>30</v>
      </c>
      <c r="M1174" t="b">
        <v>1</v>
      </c>
      <c r="N1174" t="s">
        <v>2346</v>
      </c>
      <c r="P1174" t="s">
        <v>2347</v>
      </c>
      <c r="Q1174" t="b">
        <v>0</v>
      </c>
      <c r="T1174" t="str">
        <f>"9780310421580"</f>
        <v>9780310421580</v>
      </c>
      <c r="U1174" t="b">
        <v>0</v>
      </c>
      <c r="W1174" t="b">
        <v>0</v>
      </c>
    </row>
    <row r="1175" spans="1:23" x14ac:dyDescent="0.3">
      <c r="A1175">
        <v>2982208</v>
      </c>
      <c r="B1175">
        <v>142.1</v>
      </c>
      <c r="C1175" t="s">
        <v>2567</v>
      </c>
      <c r="D1175" t="s">
        <v>2568</v>
      </c>
      <c r="E1175" t="s">
        <v>23</v>
      </c>
      <c r="F1175" t="s">
        <v>44</v>
      </c>
      <c r="G1175">
        <v>2013</v>
      </c>
      <c r="H1175" t="s">
        <v>1105</v>
      </c>
      <c r="K1175" t="s">
        <v>25</v>
      </c>
      <c r="L1175" t="s">
        <v>30</v>
      </c>
      <c r="M1175" t="b">
        <v>1</v>
      </c>
      <c r="N1175" t="s">
        <v>44</v>
      </c>
      <c r="Q1175" t="b">
        <v>0</v>
      </c>
      <c r="T1175" t="str">
        <f>"9780310430216"</f>
        <v>9780310430216</v>
      </c>
      <c r="U1175" t="b">
        <v>0</v>
      </c>
      <c r="W1175" t="b">
        <v>0</v>
      </c>
    </row>
    <row r="1176" spans="1:23" x14ac:dyDescent="0.3">
      <c r="A1176">
        <v>2982207</v>
      </c>
      <c r="B1176">
        <v>79.95</v>
      </c>
      <c r="C1176" t="s">
        <v>2569</v>
      </c>
      <c r="D1176" t="s">
        <v>2570</v>
      </c>
      <c r="E1176" t="s">
        <v>23</v>
      </c>
      <c r="F1176" t="s">
        <v>44</v>
      </c>
      <c r="G1176">
        <v>2013</v>
      </c>
      <c r="H1176" t="s">
        <v>1349</v>
      </c>
      <c r="K1176" t="s">
        <v>25</v>
      </c>
      <c r="L1176" t="s">
        <v>30</v>
      </c>
      <c r="M1176" t="b">
        <v>1</v>
      </c>
      <c r="N1176" t="s">
        <v>44</v>
      </c>
      <c r="Q1176" t="b">
        <v>0</v>
      </c>
      <c r="T1176" t="str">
        <f>"9780310421245"</f>
        <v>9780310421245</v>
      </c>
      <c r="U1176" t="b">
        <v>0</v>
      </c>
      <c r="W1176" t="b">
        <v>0</v>
      </c>
    </row>
    <row r="1177" spans="1:23" x14ac:dyDescent="0.3">
      <c r="A1177">
        <v>2982206</v>
      </c>
      <c r="B1177">
        <v>51.72</v>
      </c>
      <c r="C1177" t="s">
        <v>2571</v>
      </c>
      <c r="D1177" t="s">
        <v>2572</v>
      </c>
      <c r="E1177" t="s">
        <v>23</v>
      </c>
      <c r="F1177" t="s">
        <v>44</v>
      </c>
      <c r="G1177">
        <v>2017</v>
      </c>
      <c r="H1177" t="s">
        <v>2232</v>
      </c>
      <c r="K1177" t="s">
        <v>25</v>
      </c>
      <c r="L1177" t="s">
        <v>26</v>
      </c>
      <c r="M1177" t="b">
        <v>1</v>
      </c>
      <c r="N1177" t="s">
        <v>44</v>
      </c>
      <c r="P1177" t="s">
        <v>1319</v>
      </c>
      <c r="Q1177" t="b">
        <v>0</v>
      </c>
      <c r="S1177" t="str">
        <f>"9780310448044"</f>
        <v>9780310448044</v>
      </c>
      <c r="T1177" t="str">
        <f>"9780310448075"</f>
        <v>9780310448075</v>
      </c>
      <c r="U1177" t="b">
        <v>0</v>
      </c>
      <c r="W1177" t="b">
        <v>0</v>
      </c>
    </row>
    <row r="1178" spans="1:23" x14ac:dyDescent="0.3">
      <c r="A1178">
        <v>2982205</v>
      </c>
      <c r="B1178">
        <v>58.62</v>
      </c>
      <c r="C1178" t="s">
        <v>2573</v>
      </c>
      <c r="D1178" t="s">
        <v>2574</v>
      </c>
      <c r="E1178" t="s">
        <v>23</v>
      </c>
      <c r="F1178" t="s">
        <v>44</v>
      </c>
      <c r="G1178">
        <v>2020</v>
      </c>
      <c r="H1178" t="s">
        <v>58</v>
      </c>
      <c r="I1178" t="s">
        <v>2575</v>
      </c>
      <c r="J1178" t="s">
        <v>2576</v>
      </c>
      <c r="K1178" t="s">
        <v>25</v>
      </c>
      <c r="L1178" t="s">
        <v>26</v>
      </c>
      <c r="M1178" t="b">
        <v>1</v>
      </c>
      <c r="N1178" t="s">
        <v>2577</v>
      </c>
      <c r="Q1178" t="b">
        <v>0</v>
      </c>
      <c r="S1178" t="str">
        <f>"9780310221449"</f>
        <v>9780310221449</v>
      </c>
      <c r="T1178" t="str">
        <f>"9780310363057"</f>
        <v>9780310363057</v>
      </c>
      <c r="U1178" t="b">
        <v>0</v>
      </c>
      <c r="W1178" t="b">
        <v>0</v>
      </c>
    </row>
    <row r="1179" spans="1:23" x14ac:dyDescent="0.3">
      <c r="A1179">
        <v>2982204</v>
      </c>
      <c r="B1179">
        <v>10.63</v>
      </c>
      <c r="C1179" t="s">
        <v>2578</v>
      </c>
      <c r="D1179" t="s">
        <v>1416</v>
      </c>
      <c r="E1179" t="s">
        <v>23</v>
      </c>
      <c r="F1179" t="s">
        <v>44</v>
      </c>
      <c r="G1179">
        <v>2012</v>
      </c>
      <c r="H1179" t="s">
        <v>1105</v>
      </c>
      <c r="K1179" t="s">
        <v>25</v>
      </c>
      <c r="L1179" t="s">
        <v>30</v>
      </c>
      <c r="M1179" t="b">
        <v>1</v>
      </c>
      <c r="N1179" t="s">
        <v>44</v>
      </c>
      <c r="Q1179" t="b">
        <v>0</v>
      </c>
      <c r="T1179" t="str">
        <f>"9780310411338"</f>
        <v>9780310411338</v>
      </c>
      <c r="U1179" t="b">
        <v>0</v>
      </c>
      <c r="W1179" t="b">
        <v>0</v>
      </c>
    </row>
    <row r="1180" spans="1:23" x14ac:dyDescent="0.3">
      <c r="A1180">
        <v>2982203</v>
      </c>
      <c r="B1180">
        <v>10.63</v>
      </c>
      <c r="C1180" t="s">
        <v>2579</v>
      </c>
      <c r="E1180" t="s">
        <v>23</v>
      </c>
      <c r="F1180" t="s">
        <v>44</v>
      </c>
      <c r="G1180">
        <v>2016</v>
      </c>
      <c r="H1180" t="s">
        <v>863</v>
      </c>
      <c r="K1180" t="s">
        <v>25</v>
      </c>
      <c r="L1180" t="s">
        <v>30</v>
      </c>
      <c r="M1180" t="b">
        <v>1</v>
      </c>
      <c r="N1180" t="s">
        <v>44</v>
      </c>
      <c r="Q1180" t="b">
        <v>0</v>
      </c>
      <c r="T1180" t="str">
        <f>"9780310752455"</f>
        <v>9780310752455</v>
      </c>
      <c r="U1180" t="b">
        <v>0</v>
      </c>
      <c r="W1180" t="b">
        <v>0</v>
      </c>
    </row>
    <row r="1181" spans="1:23" x14ac:dyDescent="0.3">
      <c r="A1181">
        <v>2982202</v>
      </c>
      <c r="B1181">
        <v>55.17</v>
      </c>
      <c r="C1181" t="s">
        <v>2580</v>
      </c>
      <c r="E1181" t="s">
        <v>23</v>
      </c>
      <c r="F1181" t="s">
        <v>44</v>
      </c>
      <c r="G1181">
        <v>2009</v>
      </c>
      <c r="H1181" t="s">
        <v>728</v>
      </c>
      <c r="K1181" t="s">
        <v>25</v>
      </c>
      <c r="L1181" t="s">
        <v>30</v>
      </c>
      <c r="M1181" t="b">
        <v>1</v>
      </c>
      <c r="N1181" t="s">
        <v>77</v>
      </c>
      <c r="Q1181" t="b">
        <v>1</v>
      </c>
      <c r="S1181" t="str">
        <f>"9780310228073"</f>
        <v>9780310228073</v>
      </c>
      <c r="T1181" t="str">
        <f>"9780310830269"</f>
        <v>9780310830269</v>
      </c>
      <c r="U1181" t="b">
        <v>0</v>
      </c>
      <c r="W1181" t="b">
        <v>0</v>
      </c>
    </row>
    <row r="1182" spans="1:23" x14ac:dyDescent="0.3">
      <c r="A1182">
        <v>2982201</v>
      </c>
      <c r="B1182">
        <v>56.82</v>
      </c>
      <c r="C1182" t="s">
        <v>2581</v>
      </c>
      <c r="D1182" t="s">
        <v>2582</v>
      </c>
      <c r="E1182" t="s">
        <v>23</v>
      </c>
      <c r="F1182" t="s">
        <v>44</v>
      </c>
      <c r="G1182">
        <v>2013</v>
      </c>
      <c r="H1182" t="s">
        <v>912</v>
      </c>
      <c r="K1182" t="s">
        <v>25</v>
      </c>
      <c r="L1182" t="s">
        <v>30</v>
      </c>
      <c r="M1182" t="b">
        <v>1</v>
      </c>
      <c r="N1182" t="s">
        <v>2583</v>
      </c>
      <c r="Q1182" t="b">
        <v>0</v>
      </c>
      <c r="T1182" t="str">
        <f>"9780310325888"</f>
        <v>9780310325888</v>
      </c>
      <c r="U1182" t="b">
        <v>0</v>
      </c>
      <c r="W1182" t="b">
        <v>0</v>
      </c>
    </row>
    <row r="1183" spans="1:23" x14ac:dyDescent="0.3">
      <c r="A1183">
        <v>2982200</v>
      </c>
      <c r="B1183">
        <v>17.73</v>
      </c>
      <c r="C1183" t="s">
        <v>2584</v>
      </c>
      <c r="E1183" t="s">
        <v>23</v>
      </c>
      <c r="F1183" t="s">
        <v>44</v>
      </c>
      <c r="G1183">
        <v>2012</v>
      </c>
      <c r="H1183" t="s">
        <v>62</v>
      </c>
      <c r="K1183" t="s">
        <v>25</v>
      </c>
      <c r="L1183" t="s">
        <v>30</v>
      </c>
      <c r="M1183" t="b">
        <v>1</v>
      </c>
      <c r="N1183" t="s">
        <v>2346</v>
      </c>
      <c r="P1183" t="s">
        <v>2347</v>
      </c>
      <c r="Q1183" t="b">
        <v>0</v>
      </c>
      <c r="T1183" t="str">
        <f>"9780310421559"</f>
        <v>9780310421559</v>
      </c>
      <c r="U1183" t="b">
        <v>0</v>
      </c>
      <c r="W1183" t="b">
        <v>0</v>
      </c>
    </row>
    <row r="1184" spans="1:23" x14ac:dyDescent="0.3">
      <c r="A1184">
        <v>2982199</v>
      </c>
      <c r="B1184">
        <v>120.72</v>
      </c>
      <c r="C1184" t="s">
        <v>2585</v>
      </c>
      <c r="E1184" t="s">
        <v>23</v>
      </c>
      <c r="F1184" t="s">
        <v>44</v>
      </c>
      <c r="G1184">
        <v>2011</v>
      </c>
      <c r="H1184" t="s">
        <v>748</v>
      </c>
      <c r="K1184" t="s">
        <v>25</v>
      </c>
      <c r="L1184" t="s">
        <v>30</v>
      </c>
      <c r="M1184" t="b">
        <v>1</v>
      </c>
      <c r="N1184" t="s">
        <v>44</v>
      </c>
      <c r="Q1184" t="b">
        <v>0</v>
      </c>
      <c r="S1184" t="str">
        <f>"9780310437246"</f>
        <v>9780310437246</v>
      </c>
      <c r="T1184" t="str">
        <f>"9780310437314"</f>
        <v>9780310437314</v>
      </c>
      <c r="U1184" t="b">
        <v>0</v>
      </c>
      <c r="W1184" t="b">
        <v>0</v>
      </c>
    </row>
    <row r="1185" spans="1:23" x14ac:dyDescent="0.3">
      <c r="A1185">
        <v>2982198</v>
      </c>
      <c r="B1185">
        <v>137.97</v>
      </c>
      <c r="C1185" t="s">
        <v>2586</v>
      </c>
      <c r="D1185" t="s">
        <v>2587</v>
      </c>
      <c r="E1185" t="s">
        <v>23</v>
      </c>
      <c r="F1185" t="s">
        <v>44</v>
      </c>
      <c r="G1185">
        <v>2016</v>
      </c>
      <c r="H1185" t="s">
        <v>748</v>
      </c>
      <c r="K1185" t="s">
        <v>25</v>
      </c>
      <c r="L1185" t="s">
        <v>26</v>
      </c>
      <c r="M1185" t="b">
        <v>1</v>
      </c>
      <c r="N1185" t="s">
        <v>44</v>
      </c>
      <c r="Q1185" t="b">
        <v>0</v>
      </c>
      <c r="S1185" t="str">
        <f>"9780310753063"</f>
        <v>9780310753063</v>
      </c>
      <c r="T1185" t="str">
        <f>"9780310752936"</f>
        <v>9780310752936</v>
      </c>
      <c r="U1185" t="b">
        <v>0</v>
      </c>
      <c r="W1185" t="b">
        <v>0</v>
      </c>
    </row>
    <row r="1186" spans="1:23" x14ac:dyDescent="0.3">
      <c r="A1186">
        <v>2982197</v>
      </c>
      <c r="B1186">
        <v>137.97</v>
      </c>
      <c r="C1186" t="s">
        <v>2588</v>
      </c>
      <c r="D1186" t="s">
        <v>2589</v>
      </c>
      <c r="E1186" t="s">
        <v>23</v>
      </c>
      <c r="F1186" t="s">
        <v>44</v>
      </c>
      <c r="G1186">
        <v>2017</v>
      </c>
      <c r="H1186" t="s">
        <v>748</v>
      </c>
      <c r="K1186" t="s">
        <v>25</v>
      </c>
      <c r="L1186" t="s">
        <v>26</v>
      </c>
      <c r="M1186" t="b">
        <v>1</v>
      </c>
      <c r="N1186" t="s">
        <v>44</v>
      </c>
      <c r="Q1186" t="b">
        <v>0</v>
      </c>
      <c r="S1186" t="str">
        <f>"9780310080039"</f>
        <v>9780310080039</v>
      </c>
      <c r="T1186" t="str">
        <f>"9780310080060"</f>
        <v>9780310080060</v>
      </c>
      <c r="U1186" t="b">
        <v>0</v>
      </c>
      <c r="W1186" t="b">
        <v>0</v>
      </c>
    </row>
    <row r="1187" spans="1:23" x14ac:dyDescent="0.3">
      <c r="A1187">
        <v>2982196</v>
      </c>
      <c r="B1187">
        <v>93.12</v>
      </c>
      <c r="C1187" t="s">
        <v>2590</v>
      </c>
      <c r="D1187" t="s">
        <v>2591</v>
      </c>
      <c r="E1187" t="s">
        <v>23</v>
      </c>
      <c r="F1187" t="s">
        <v>44</v>
      </c>
      <c r="G1187">
        <v>2020</v>
      </c>
      <c r="H1187" t="s">
        <v>2592</v>
      </c>
      <c r="K1187" t="s">
        <v>25</v>
      </c>
      <c r="L1187" t="s">
        <v>26</v>
      </c>
      <c r="M1187" t="b">
        <v>1</v>
      </c>
      <c r="N1187" t="s">
        <v>2593</v>
      </c>
      <c r="Q1187" t="b">
        <v>0</v>
      </c>
      <c r="S1187" t="str">
        <f>"9780310360742"</f>
        <v>9780310360742</v>
      </c>
      <c r="T1187" t="str">
        <f>"9780310360759"</f>
        <v>9780310360759</v>
      </c>
      <c r="U1187" t="b">
        <v>0</v>
      </c>
      <c r="W1187" t="b">
        <v>0</v>
      </c>
    </row>
    <row r="1188" spans="1:23" x14ac:dyDescent="0.3">
      <c r="A1188">
        <v>2982195</v>
      </c>
      <c r="B1188">
        <v>53.27</v>
      </c>
      <c r="C1188" t="s">
        <v>2594</v>
      </c>
      <c r="E1188" t="s">
        <v>23</v>
      </c>
      <c r="F1188" t="s">
        <v>44</v>
      </c>
      <c r="G1188">
        <v>2012</v>
      </c>
      <c r="H1188" t="s">
        <v>1349</v>
      </c>
      <c r="K1188" t="s">
        <v>25</v>
      </c>
      <c r="L1188" t="s">
        <v>30</v>
      </c>
      <c r="M1188" t="b">
        <v>1</v>
      </c>
      <c r="N1188" t="s">
        <v>44</v>
      </c>
      <c r="Q1188" t="b">
        <v>0</v>
      </c>
      <c r="T1188" t="str">
        <f>"9780310441090"</f>
        <v>9780310441090</v>
      </c>
      <c r="U1188" t="b">
        <v>0</v>
      </c>
      <c r="W1188" t="b">
        <v>0</v>
      </c>
    </row>
    <row r="1189" spans="1:23" x14ac:dyDescent="0.3">
      <c r="A1189">
        <v>2982194</v>
      </c>
      <c r="B1189">
        <v>166.98</v>
      </c>
      <c r="C1189" t="s">
        <v>2595</v>
      </c>
      <c r="D1189" t="s">
        <v>2596</v>
      </c>
      <c r="E1189" t="s">
        <v>23</v>
      </c>
      <c r="F1189" t="s">
        <v>44</v>
      </c>
      <c r="G1189">
        <v>2014</v>
      </c>
      <c r="H1189" t="s">
        <v>66</v>
      </c>
      <c r="K1189" t="s">
        <v>25</v>
      </c>
      <c r="L1189" t="s">
        <v>30</v>
      </c>
      <c r="M1189" t="b">
        <v>1</v>
      </c>
      <c r="N1189" t="s">
        <v>77</v>
      </c>
      <c r="P1189" t="s">
        <v>2373</v>
      </c>
      <c r="Q1189" t="b">
        <v>1</v>
      </c>
      <c r="T1189" t="str">
        <f>"9780310342755"</f>
        <v>9780310342755</v>
      </c>
      <c r="U1189" t="b">
        <v>0</v>
      </c>
      <c r="W1189" t="b">
        <v>0</v>
      </c>
    </row>
    <row r="1190" spans="1:23" x14ac:dyDescent="0.3">
      <c r="A1190">
        <v>2982193</v>
      </c>
      <c r="B1190">
        <v>113.68</v>
      </c>
      <c r="C1190" t="s">
        <v>2597</v>
      </c>
      <c r="D1190" t="s">
        <v>2598</v>
      </c>
      <c r="E1190" t="s">
        <v>23</v>
      </c>
      <c r="F1190" t="s">
        <v>44</v>
      </c>
      <c r="G1190">
        <v>2016</v>
      </c>
      <c r="H1190" t="s">
        <v>1105</v>
      </c>
      <c r="K1190" t="s">
        <v>25</v>
      </c>
      <c r="L1190" t="s">
        <v>26</v>
      </c>
      <c r="M1190" t="b">
        <v>1</v>
      </c>
      <c r="N1190" t="s">
        <v>44</v>
      </c>
      <c r="Q1190" t="b">
        <v>0</v>
      </c>
      <c r="T1190" t="str">
        <f>"9780310411253"</f>
        <v>9780310411253</v>
      </c>
      <c r="U1190" t="b">
        <v>0</v>
      </c>
      <c r="W1190" t="b">
        <v>0</v>
      </c>
    </row>
    <row r="1191" spans="1:23" x14ac:dyDescent="0.3">
      <c r="A1191">
        <v>2982192</v>
      </c>
      <c r="B1191">
        <v>44.82</v>
      </c>
      <c r="C1191" t="s">
        <v>2599</v>
      </c>
      <c r="E1191" t="s">
        <v>23</v>
      </c>
      <c r="F1191" t="s">
        <v>44</v>
      </c>
      <c r="G1191">
        <v>2010</v>
      </c>
      <c r="H1191" t="s">
        <v>66</v>
      </c>
      <c r="K1191" t="s">
        <v>25</v>
      </c>
      <c r="L1191" t="s">
        <v>30</v>
      </c>
      <c r="M1191" t="b">
        <v>1</v>
      </c>
      <c r="N1191" t="s">
        <v>1615</v>
      </c>
      <c r="P1191" t="s">
        <v>2600</v>
      </c>
      <c r="Q1191" t="b">
        <v>1</v>
      </c>
      <c r="S1191" t="str">
        <f>"9780310227564"</f>
        <v>9780310227564</v>
      </c>
      <c r="T1191" t="str">
        <f>"9780310873839"</f>
        <v>9780310873839</v>
      </c>
      <c r="U1191" t="b">
        <v>0</v>
      </c>
      <c r="W1191" t="b">
        <v>0</v>
      </c>
    </row>
    <row r="1192" spans="1:23" x14ac:dyDescent="0.3">
      <c r="A1192">
        <v>2982143</v>
      </c>
      <c r="B1192">
        <v>68.97</v>
      </c>
      <c r="C1192" t="s">
        <v>2601</v>
      </c>
      <c r="D1192" t="s">
        <v>2602</v>
      </c>
      <c r="E1192" t="s">
        <v>23</v>
      </c>
      <c r="F1192" t="s">
        <v>44</v>
      </c>
      <c r="G1192">
        <v>2021</v>
      </c>
      <c r="H1192" t="s">
        <v>2603</v>
      </c>
      <c r="K1192" t="s">
        <v>25</v>
      </c>
      <c r="L1192" t="s">
        <v>26</v>
      </c>
      <c r="M1192" t="b">
        <v>1</v>
      </c>
      <c r="N1192" t="s">
        <v>949</v>
      </c>
      <c r="Q1192" t="b">
        <v>0</v>
      </c>
      <c r="S1192" t="str">
        <f>"9780310108306"</f>
        <v>9780310108306</v>
      </c>
      <c r="T1192" t="str">
        <f>"9780310108313"</f>
        <v>9780310108313</v>
      </c>
      <c r="U1192" t="b">
        <v>0</v>
      </c>
      <c r="W1192" t="b">
        <v>0</v>
      </c>
    </row>
    <row r="1193" spans="1:23" x14ac:dyDescent="0.3">
      <c r="A1193">
        <v>2982142</v>
      </c>
      <c r="B1193">
        <v>55.17</v>
      </c>
      <c r="C1193" t="s">
        <v>2604</v>
      </c>
      <c r="E1193" t="s">
        <v>23</v>
      </c>
      <c r="F1193" t="s">
        <v>44</v>
      </c>
      <c r="G1193">
        <v>2008</v>
      </c>
      <c r="H1193" t="s">
        <v>66</v>
      </c>
      <c r="K1193" t="s">
        <v>25</v>
      </c>
      <c r="L1193" t="s">
        <v>30</v>
      </c>
      <c r="M1193" t="b">
        <v>1</v>
      </c>
      <c r="N1193" t="s">
        <v>77</v>
      </c>
      <c r="P1193" t="s">
        <v>2605</v>
      </c>
      <c r="Q1193" t="b">
        <v>1</v>
      </c>
      <c r="S1193" t="str">
        <f>"9780310337805"</f>
        <v>9780310337805</v>
      </c>
      <c r="T1193" t="str">
        <f>"9780310296157"</f>
        <v>9780310296157</v>
      </c>
      <c r="U1193" t="b">
        <v>0</v>
      </c>
      <c r="W1193" t="b">
        <v>0</v>
      </c>
    </row>
    <row r="1194" spans="1:23" x14ac:dyDescent="0.3">
      <c r="A1194">
        <v>2982141</v>
      </c>
      <c r="B1194">
        <v>10.63</v>
      </c>
      <c r="C1194" t="s">
        <v>2606</v>
      </c>
      <c r="D1194" t="s">
        <v>2607</v>
      </c>
      <c r="E1194" t="s">
        <v>23</v>
      </c>
      <c r="F1194" t="s">
        <v>44</v>
      </c>
      <c r="G1194">
        <v>2015</v>
      </c>
      <c r="H1194" t="s">
        <v>2608</v>
      </c>
      <c r="K1194" t="s">
        <v>25</v>
      </c>
      <c r="L1194" t="s">
        <v>30</v>
      </c>
      <c r="M1194" t="b">
        <v>1</v>
      </c>
      <c r="N1194" t="s">
        <v>2609</v>
      </c>
      <c r="Q1194" t="b">
        <v>0</v>
      </c>
      <c r="T1194" t="str">
        <f>"9780310751137"</f>
        <v>9780310751137</v>
      </c>
      <c r="U1194" t="b">
        <v>0</v>
      </c>
      <c r="W1194" t="b">
        <v>0</v>
      </c>
    </row>
    <row r="1195" spans="1:23" x14ac:dyDescent="0.3">
      <c r="A1195">
        <v>2982139</v>
      </c>
      <c r="B1195">
        <v>53.27</v>
      </c>
      <c r="C1195" t="s">
        <v>2610</v>
      </c>
      <c r="D1195" t="s">
        <v>2231</v>
      </c>
      <c r="E1195" t="s">
        <v>23</v>
      </c>
      <c r="F1195" t="s">
        <v>44</v>
      </c>
      <c r="G1195">
        <v>2015</v>
      </c>
      <c r="H1195" t="s">
        <v>2611</v>
      </c>
      <c r="K1195" t="s">
        <v>25</v>
      </c>
      <c r="L1195" t="s">
        <v>30</v>
      </c>
      <c r="M1195" t="b">
        <v>1</v>
      </c>
      <c r="N1195" t="s">
        <v>44</v>
      </c>
      <c r="Q1195" t="b">
        <v>0</v>
      </c>
      <c r="T1195" t="str">
        <f>"9780310438212"</f>
        <v>9780310438212</v>
      </c>
      <c r="U1195" t="b">
        <v>0</v>
      </c>
      <c r="W1195" t="b">
        <v>0</v>
      </c>
    </row>
    <row r="1196" spans="1:23" x14ac:dyDescent="0.3">
      <c r="A1196">
        <v>2982136</v>
      </c>
      <c r="B1196">
        <v>86.22</v>
      </c>
      <c r="C1196" t="s">
        <v>2612</v>
      </c>
      <c r="D1196" t="s">
        <v>2613</v>
      </c>
      <c r="E1196" t="s">
        <v>23</v>
      </c>
      <c r="F1196" t="s">
        <v>44</v>
      </c>
      <c r="G1196">
        <v>2020</v>
      </c>
      <c r="H1196" t="s">
        <v>731</v>
      </c>
      <c r="K1196" t="s">
        <v>25</v>
      </c>
      <c r="L1196" t="s">
        <v>26</v>
      </c>
      <c r="M1196" t="b">
        <v>1</v>
      </c>
      <c r="N1196" t="s">
        <v>220</v>
      </c>
      <c r="Q1196" t="b">
        <v>0</v>
      </c>
      <c r="S1196" t="str">
        <f>"9780310349440"</f>
        <v>9780310349440</v>
      </c>
      <c r="T1196" t="str">
        <f>"9780310349563"</f>
        <v>9780310349563</v>
      </c>
      <c r="U1196" t="b">
        <v>0</v>
      </c>
      <c r="W1196" t="b">
        <v>0</v>
      </c>
    </row>
    <row r="1197" spans="1:23" x14ac:dyDescent="0.3">
      <c r="A1197">
        <v>2982135</v>
      </c>
      <c r="B1197">
        <v>7.07</v>
      </c>
      <c r="C1197" t="s">
        <v>2614</v>
      </c>
      <c r="E1197" t="s">
        <v>23</v>
      </c>
      <c r="F1197" t="s">
        <v>44</v>
      </c>
      <c r="G1197">
        <v>2011</v>
      </c>
      <c r="H1197" t="s">
        <v>1384</v>
      </c>
      <c r="K1197" t="s">
        <v>25</v>
      </c>
      <c r="L1197" t="s">
        <v>30</v>
      </c>
      <c r="M1197" t="b">
        <v>1</v>
      </c>
      <c r="N1197" t="s">
        <v>44</v>
      </c>
      <c r="Q1197" t="b">
        <v>0</v>
      </c>
      <c r="T1197" t="str">
        <f>"9780310442332"</f>
        <v>9780310442332</v>
      </c>
      <c r="U1197" t="b">
        <v>0</v>
      </c>
      <c r="W1197" t="b">
        <v>0</v>
      </c>
    </row>
    <row r="1198" spans="1:23" x14ac:dyDescent="0.3">
      <c r="A1198">
        <v>2982134</v>
      </c>
      <c r="B1198">
        <v>65.52</v>
      </c>
      <c r="C1198" t="s">
        <v>2615</v>
      </c>
      <c r="E1198" t="s">
        <v>23</v>
      </c>
      <c r="F1198" t="s">
        <v>44</v>
      </c>
      <c r="G1198">
        <v>2008</v>
      </c>
      <c r="H1198" t="s">
        <v>58</v>
      </c>
      <c r="K1198" t="s">
        <v>25</v>
      </c>
      <c r="L1198" t="s">
        <v>26</v>
      </c>
      <c r="M1198" t="b">
        <v>1</v>
      </c>
      <c r="N1198" t="s">
        <v>2616</v>
      </c>
      <c r="Q1198" t="b">
        <v>0</v>
      </c>
      <c r="S1198" t="str">
        <f>"9780310340461"</f>
        <v>9780310340461</v>
      </c>
      <c r="T1198" t="str">
        <f>"9780310296065"</f>
        <v>9780310296065</v>
      </c>
      <c r="U1198" t="b">
        <v>0</v>
      </c>
      <c r="W1198" t="b">
        <v>0</v>
      </c>
    </row>
    <row r="1199" spans="1:23" x14ac:dyDescent="0.3">
      <c r="A1199">
        <v>2982132</v>
      </c>
      <c r="B1199">
        <v>68.97</v>
      </c>
      <c r="C1199" t="s">
        <v>2617</v>
      </c>
      <c r="D1199" t="s">
        <v>1301</v>
      </c>
      <c r="E1199" t="s">
        <v>23</v>
      </c>
      <c r="F1199" t="s">
        <v>44</v>
      </c>
      <c r="G1199">
        <v>2009</v>
      </c>
      <c r="H1199" t="s">
        <v>58</v>
      </c>
      <c r="K1199" t="s">
        <v>25</v>
      </c>
      <c r="L1199" t="s">
        <v>26</v>
      </c>
      <c r="M1199" t="b">
        <v>1</v>
      </c>
      <c r="N1199" t="s">
        <v>915</v>
      </c>
      <c r="P1199" t="s">
        <v>978</v>
      </c>
      <c r="Q1199" t="b">
        <v>0</v>
      </c>
      <c r="S1199" t="str">
        <f>"9780310339281"</f>
        <v>9780310339281</v>
      </c>
      <c r="T1199" t="str">
        <f>"9780310565697"</f>
        <v>9780310565697</v>
      </c>
      <c r="U1199" t="b">
        <v>0</v>
      </c>
      <c r="W1199" t="b">
        <v>0</v>
      </c>
    </row>
    <row r="1200" spans="1:23" x14ac:dyDescent="0.3">
      <c r="A1200">
        <v>2982130</v>
      </c>
      <c r="B1200">
        <v>172.47</v>
      </c>
      <c r="C1200" t="s">
        <v>2618</v>
      </c>
      <c r="D1200" t="s">
        <v>2257</v>
      </c>
      <c r="E1200" t="s">
        <v>23</v>
      </c>
      <c r="F1200" t="s">
        <v>44</v>
      </c>
      <c r="G1200">
        <v>2019</v>
      </c>
      <c r="H1200" t="s">
        <v>2619</v>
      </c>
      <c r="I1200" t="s">
        <v>2620</v>
      </c>
      <c r="K1200" t="s">
        <v>25</v>
      </c>
      <c r="L1200" t="s">
        <v>26</v>
      </c>
      <c r="M1200" t="b">
        <v>1</v>
      </c>
      <c r="N1200" t="s">
        <v>44</v>
      </c>
      <c r="O1200" t="str">
        <f>"220.52"</f>
        <v>220.52</v>
      </c>
      <c r="Q1200" t="b">
        <v>0</v>
      </c>
      <c r="S1200" t="str">
        <f>"9780310452683"</f>
        <v>9780310452683</v>
      </c>
      <c r="T1200" t="str">
        <f>"9780310452720"</f>
        <v>9780310452720</v>
      </c>
      <c r="U1200" t="b">
        <v>0</v>
      </c>
      <c r="W1200" t="b">
        <v>0</v>
      </c>
    </row>
    <row r="1201" spans="1:23" x14ac:dyDescent="0.3">
      <c r="A1201">
        <v>2982128</v>
      </c>
      <c r="B1201">
        <v>68.97</v>
      </c>
      <c r="C1201" t="s">
        <v>2621</v>
      </c>
      <c r="D1201" t="s">
        <v>2622</v>
      </c>
      <c r="E1201" t="s">
        <v>23</v>
      </c>
      <c r="F1201" t="s">
        <v>44</v>
      </c>
      <c r="G1201">
        <v>2008</v>
      </c>
      <c r="H1201" t="s">
        <v>58</v>
      </c>
      <c r="K1201" t="s">
        <v>25</v>
      </c>
      <c r="L1201" t="s">
        <v>30</v>
      </c>
      <c r="M1201" t="b">
        <v>1</v>
      </c>
      <c r="N1201" t="s">
        <v>2623</v>
      </c>
      <c r="Q1201" t="b">
        <v>0</v>
      </c>
      <c r="S1201" t="str">
        <f>"9780310279471"</f>
        <v>9780310279471</v>
      </c>
      <c r="T1201" t="str">
        <f>"9780310309048"</f>
        <v>9780310309048</v>
      </c>
      <c r="U1201" t="b">
        <v>0</v>
      </c>
      <c r="W1201" t="b">
        <v>0</v>
      </c>
    </row>
    <row r="1202" spans="1:23" x14ac:dyDescent="0.3">
      <c r="A1202">
        <v>2982125</v>
      </c>
      <c r="B1202">
        <v>58.62</v>
      </c>
      <c r="C1202" t="s">
        <v>2624</v>
      </c>
      <c r="D1202" t="s">
        <v>2625</v>
      </c>
      <c r="E1202" t="s">
        <v>23</v>
      </c>
      <c r="F1202" t="s">
        <v>44</v>
      </c>
      <c r="G1202">
        <v>2008</v>
      </c>
      <c r="H1202" t="s">
        <v>58</v>
      </c>
      <c r="K1202" t="s">
        <v>25</v>
      </c>
      <c r="L1202" t="s">
        <v>30</v>
      </c>
      <c r="M1202" t="b">
        <v>1</v>
      </c>
      <c r="N1202" t="s">
        <v>2626</v>
      </c>
      <c r="Q1202" t="b">
        <v>0</v>
      </c>
      <c r="S1202" t="str">
        <f>"9780310328360"</f>
        <v>9780310328360</v>
      </c>
      <c r="T1202" t="str">
        <f>"9780310295259"</f>
        <v>9780310295259</v>
      </c>
      <c r="U1202" t="b">
        <v>0</v>
      </c>
      <c r="W1202" t="b">
        <v>0</v>
      </c>
    </row>
    <row r="1203" spans="1:23" x14ac:dyDescent="0.3">
      <c r="A1203">
        <v>2982123</v>
      </c>
      <c r="B1203">
        <v>35.5</v>
      </c>
      <c r="C1203" t="s">
        <v>2627</v>
      </c>
      <c r="E1203" t="s">
        <v>23</v>
      </c>
      <c r="F1203" t="s">
        <v>44</v>
      </c>
      <c r="G1203">
        <v>2012</v>
      </c>
      <c r="H1203" t="s">
        <v>132</v>
      </c>
      <c r="K1203" t="s">
        <v>25</v>
      </c>
      <c r="L1203" t="s">
        <v>30</v>
      </c>
      <c r="M1203" t="b">
        <v>1</v>
      </c>
      <c r="N1203" t="s">
        <v>44</v>
      </c>
      <c r="P1203" t="s">
        <v>2226</v>
      </c>
      <c r="Q1203" t="b">
        <v>0</v>
      </c>
      <c r="T1203" t="str">
        <f>"9780310440734"</f>
        <v>9780310440734</v>
      </c>
      <c r="U1203" t="b">
        <v>0</v>
      </c>
      <c r="W1203" t="b">
        <v>0</v>
      </c>
    </row>
    <row r="1204" spans="1:23" x14ac:dyDescent="0.3">
      <c r="A1204">
        <v>2982122</v>
      </c>
      <c r="B1204">
        <v>35.5</v>
      </c>
      <c r="C1204" t="s">
        <v>2628</v>
      </c>
      <c r="D1204" t="s">
        <v>2629</v>
      </c>
      <c r="E1204" t="s">
        <v>23</v>
      </c>
      <c r="F1204" t="s">
        <v>44</v>
      </c>
      <c r="G1204">
        <v>2012</v>
      </c>
      <c r="H1204" t="s">
        <v>58</v>
      </c>
      <c r="K1204" t="s">
        <v>25</v>
      </c>
      <c r="L1204" t="s">
        <v>30</v>
      </c>
      <c r="M1204" t="b">
        <v>1</v>
      </c>
      <c r="N1204" t="s">
        <v>752</v>
      </c>
      <c r="Q1204" t="b">
        <v>0</v>
      </c>
      <c r="T1204" t="str">
        <f>"9780310333692"</f>
        <v>9780310333692</v>
      </c>
      <c r="U1204" t="b">
        <v>0</v>
      </c>
      <c r="W1204" t="b">
        <v>0</v>
      </c>
    </row>
    <row r="1205" spans="1:23" x14ac:dyDescent="0.3">
      <c r="A1205">
        <v>2982121</v>
      </c>
      <c r="B1205">
        <v>71.03</v>
      </c>
      <c r="C1205" t="s">
        <v>2630</v>
      </c>
      <c r="D1205" t="s">
        <v>2631</v>
      </c>
      <c r="E1205" t="s">
        <v>23</v>
      </c>
      <c r="F1205" t="s">
        <v>44</v>
      </c>
      <c r="G1205">
        <v>2011</v>
      </c>
      <c r="H1205" t="s">
        <v>67</v>
      </c>
      <c r="K1205" t="s">
        <v>25</v>
      </c>
      <c r="L1205" t="s">
        <v>30</v>
      </c>
      <c r="M1205" t="b">
        <v>1</v>
      </c>
      <c r="N1205" t="s">
        <v>2632</v>
      </c>
      <c r="P1205" t="s">
        <v>2633</v>
      </c>
      <c r="Q1205" t="b">
        <v>1</v>
      </c>
      <c r="T1205" t="str">
        <f>"9780310326403"</f>
        <v>9780310326403</v>
      </c>
      <c r="U1205" t="b">
        <v>0</v>
      </c>
      <c r="W1205" t="b">
        <v>0</v>
      </c>
    </row>
    <row r="1206" spans="1:23" x14ac:dyDescent="0.3">
      <c r="A1206">
        <v>2982120</v>
      </c>
      <c r="B1206">
        <v>55.17</v>
      </c>
      <c r="C1206" t="s">
        <v>2634</v>
      </c>
      <c r="E1206" t="s">
        <v>23</v>
      </c>
      <c r="F1206" t="s">
        <v>44</v>
      </c>
      <c r="G1206">
        <v>2008</v>
      </c>
      <c r="H1206" t="s">
        <v>66</v>
      </c>
      <c r="K1206" t="s">
        <v>25</v>
      </c>
      <c r="L1206" t="s">
        <v>30</v>
      </c>
      <c r="M1206" t="b">
        <v>1</v>
      </c>
      <c r="N1206" t="s">
        <v>77</v>
      </c>
      <c r="P1206" t="s">
        <v>2605</v>
      </c>
      <c r="Q1206" t="b">
        <v>1</v>
      </c>
      <c r="S1206" t="str">
        <f>"9780310337829"</f>
        <v>9780310337829</v>
      </c>
      <c r="T1206" t="str">
        <f>"9780310296218"</f>
        <v>9780310296218</v>
      </c>
      <c r="U1206" t="b">
        <v>0</v>
      </c>
      <c r="W1206" t="b">
        <v>0</v>
      </c>
    </row>
    <row r="1207" spans="1:23" x14ac:dyDescent="0.3">
      <c r="A1207">
        <v>2982119</v>
      </c>
      <c r="B1207">
        <v>56.82</v>
      </c>
      <c r="C1207" t="s">
        <v>2635</v>
      </c>
      <c r="D1207" t="s">
        <v>2636</v>
      </c>
      <c r="E1207" t="s">
        <v>23</v>
      </c>
      <c r="F1207" t="s">
        <v>44</v>
      </c>
      <c r="G1207">
        <v>2008</v>
      </c>
      <c r="H1207" t="s">
        <v>56</v>
      </c>
      <c r="K1207" t="s">
        <v>25</v>
      </c>
      <c r="L1207" t="s">
        <v>30</v>
      </c>
      <c r="M1207" t="b">
        <v>1</v>
      </c>
      <c r="N1207" t="s">
        <v>2637</v>
      </c>
      <c r="Q1207" t="b">
        <v>0</v>
      </c>
      <c r="T1207" t="str">
        <f>"9780310295693"</f>
        <v>9780310295693</v>
      </c>
      <c r="U1207" t="b">
        <v>0</v>
      </c>
      <c r="W1207" t="b">
        <v>0</v>
      </c>
    </row>
    <row r="1208" spans="1:23" x14ac:dyDescent="0.3">
      <c r="A1208">
        <v>2982118</v>
      </c>
      <c r="B1208">
        <v>58.62</v>
      </c>
      <c r="C1208" t="s">
        <v>2638</v>
      </c>
      <c r="D1208" t="s">
        <v>2639</v>
      </c>
      <c r="E1208" t="s">
        <v>23</v>
      </c>
      <c r="F1208" t="s">
        <v>44</v>
      </c>
      <c r="G1208">
        <v>2017</v>
      </c>
      <c r="H1208" t="s">
        <v>56</v>
      </c>
      <c r="I1208" t="s">
        <v>1081</v>
      </c>
      <c r="J1208" t="s">
        <v>2640</v>
      </c>
      <c r="K1208" t="s">
        <v>25</v>
      </c>
      <c r="L1208" t="s">
        <v>26</v>
      </c>
      <c r="M1208" t="b">
        <v>1</v>
      </c>
      <c r="N1208" t="s">
        <v>2641</v>
      </c>
      <c r="O1208" t="str">
        <f>"248.8/45"</f>
        <v>248.8/45</v>
      </c>
      <c r="Q1208" t="b">
        <v>0</v>
      </c>
      <c r="S1208" t="str">
        <f>"9780310341857"</f>
        <v>9780310341857</v>
      </c>
      <c r="T1208" t="str">
        <f>"9780310341864"</f>
        <v>9780310341864</v>
      </c>
      <c r="U1208" t="b">
        <v>0</v>
      </c>
      <c r="W1208" t="b">
        <v>0</v>
      </c>
    </row>
    <row r="1209" spans="1:23" x14ac:dyDescent="0.3">
      <c r="A1209">
        <v>2982117</v>
      </c>
      <c r="B1209">
        <v>58.62</v>
      </c>
      <c r="C1209" t="s">
        <v>2642</v>
      </c>
      <c r="D1209" t="s">
        <v>2643</v>
      </c>
      <c r="E1209" t="s">
        <v>23</v>
      </c>
      <c r="F1209" t="s">
        <v>44</v>
      </c>
      <c r="G1209">
        <v>2009</v>
      </c>
      <c r="H1209" t="s">
        <v>912</v>
      </c>
      <c r="K1209" t="s">
        <v>25</v>
      </c>
      <c r="L1209" t="s">
        <v>30</v>
      </c>
      <c r="M1209" t="b">
        <v>1</v>
      </c>
      <c r="N1209" t="s">
        <v>2644</v>
      </c>
      <c r="Q1209" t="b">
        <v>0</v>
      </c>
      <c r="S1209" t="str">
        <f>"9780310346623"</f>
        <v>9780310346623</v>
      </c>
      <c r="T1209" t="str">
        <f>"9780310319849"</f>
        <v>9780310319849</v>
      </c>
      <c r="U1209" t="b">
        <v>0</v>
      </c>
      <c r="W1209" t="b">
        <v>0</v>
      </c>
    </row>
    <row r="1210" spans="1:23" x14ac:dyDescent="0.3">
      <c r="A1210">
        <v>2982116</v>
      </c>
      <c r="B1210">
        <v>58.62</v>
      </c>
      <c r="C1210" t="s">
        <v>2645</v>
      </c>
      <c r="D1210" t="s">
        <v>2646</v>
      </c>
      <c r="E1210" t="s">
        <v>23</v>
      </c>
      <c r="F1210" t="s">
        <v>44</v>
      </c>
      <c r="G1210">
        <v>2018</v>
      </c>
      <c r="H1210" t="s">
        <v>58</v>
      </c>
      <c r="K1210" t="s">
        <v>25</v>
      </c>
      <c r="L1210" t="s">
        <v>26</v>
      </c>
      <c r="M1210" t="b">
        <v>1</v>
      </c>
      <c r="N1210" t="s">
        <v>752</v>
      </c>
      <c r="Q1210" t="b">
        <v>0</v>
      </c>
      <c r="S1210" t="str">
        <f>"9780310343066"</f>
        <v>9780310343066</v>
      </c>
      <c r="T1210" t="str">
        <f>"9780310350750"</f>
        <v>9780310350750</v>
      </c>
      <c r="U1210" t="b">
        <v>0</v>
      </c>
      <c r="W1210" t="b">
        <v>0</v>
      </c>
    </row>
    <row r="1211" spans="1:23" x14ac:dyDescent="0.3">
      <c r="A1211">
        <v>2982115</v>
      </c>
      <c r="B1211">
        <v>58.62</v>
      </c>
      <c r="C1211" t="s">
        <v>2647</v>
      </c>
      <c r="E1211" t="s">
        <v>23</v>
      </c>
      <c r="F1211" t="s">
        <v>44</v>
      </c>
      <c r="G1211">
        <v>2008</v>
      </c>
      <c r="H1211" t="s">
        <v>98</v>
      </c>
      <c r="K1211" t="s">
        <v>25</v>
      </c>
      <c r="L1211" t="s">
        <v>30</v>
      </c>
      <c r="M1211" t="b">
        <v>1</v>
      </c>
      <c r="N1211" t="s">
        <v>63</v>
      </c>
      <c r="P1211" t="s">
        <v>2648</v>
      </c>
      <c r="Q1211" t="b">
        <v>0</v>
      </c>
      <c r="S1211" t="str">
        <f>"9780310340768"</f>
        <v>9780310340768</v>
      </c>
      <c r="T1211" t="str">
        <f>"9780310296263"</f>
        <v>9780310296263</v>
      </c>
      <c r="U1211" t="b">
        <v>0</v>
      </c>
      <c r="W1211" t="b">
        <v>0</v>
      </c>
    </row>
    <row r="1212" spans="1:23" x14ac:dyDescent="0.3">
      <c r="A1212">
        <v>2982114</v>
      </c>
      <c r="B1212">
        <v>86.22</v>
      </c>
      <c r="C1212" t="s">
        <v>2649</v>
      </c>
      <c r="D1212" t="s">
        <v>2650</v>
      </c>
      <c r="E1212" t="s">
        <v>23</v>
      </c>
      <c r="F1212" t="s">
        <v>44</v>
      </c>
      <c r="G1212">
        <v>2011</v>
      </c>
      <c r="H1212" t="s">
        <v>58</v>
      </c>
      <c r="K1212" t="s">
        <v>25</v>
      </c>
      <c r="L1212" t="s">
        <v>30</v>
      </c>
      <c r="M1212" t="b">
        <v>1</v>
      </c>
      <c r="N1212" t="s">
        <v>65</v>
      </c>
      <c r="P1212" t="s">
        <v>1316</v>
      </c>
      <c r="Q1212" t="b">
        <v>0</v>
      </c>
      <c r="S1212" t="str">
        <f>"9780310294030"</f>
        <v>9780310294030</v>
      </c>
      <c r="T1212" t="str">
        <f>"9780310408475"</f>
        <v>9780310408475</v>
      </c>
      <c r="U1212" t="b">
        <v>0</v>
      </c>
      <c r="W1212" t="b">
        <v>0</v>
      </c>
    </row>
    <row r="1213" spans="1:23" x14ac:dyDescent="0.3">
      <c r="A1213">
        <v>2982113</v>
      </c>
      <c r="B1213">
        <v>35.5</v>
      </c>
      <c r="C1213" t="s">
        <v>2651</v>
      </c>
      <c r="E1213" t="s">
        <v>23</v>
      </c>
      <c r="F1213" t="s">
        <v>44</v>
      </c>
      <c r="G1213">
        <v>2016</v>
      </c>
      <c r="H1213" t="s">
        <v>132</v>
      </c>
      <c r="K1213" t="s">
        <v>25</v>
      </c>
      <c r="L1213" t="s">
        <v>26</v>
      </c>
      <c r="M1213" t="b">
        <v>1</v>
      </c>
      <c r="N1213" t="s">
        <v>2652</v>
      </c>
      <c r="P1213" t="s">
        <v>1216</v>
      </c>
      <c r="Q1213" t="b">
        <v>0</v>
      </c>
      <c r="T1213" t="str">
        <f>"9780310356448"</f>
        <v>9780310356448</v>
      </c>
      <c r="U1213" t="b">
        <v>0</v>
      </c>
      <c r="W1213" t="b">
        <v>0</v>
      </c>
    </row>
    <row r="1214" spans="1:23" x14ac:dyDescent="0.3">
      <c r="A1214">
        <v>2982112</v>
      </c>
      <c r="B1214">
        <v>68.97</v>
      </c>
      <c r="C1214" t="s">
        <v>2653</v>
      </c>
      <c r="E1214" t="s">
        <v>23</v>
      </c>
      <c r="F1214" t="s">
        <v>44</v>
      </c>
      <c r="G1214">
        <v>2012</v>
      </c>
      <c r="H1214" t="s">
        <v>132</v>
      </c>
      <c r="K1214" t="s">
        <v>25</v>
      </c>
      <c r="L1214" t="s">
        <v>30</v>
      </c>
      <c r="M1214" t="b">
        <v>1</v>
      </c>
      <c r="N1214" t="s">
        <v>2249</v>
      </c>
      <c r="P1214" t="s">
        <v>2226</v>
      </c>
      <c r="Q1214" t="b">
        <v>0</v>
      </c>
      <c r="S1214" t="str">
        <f>"9780310440741"</f>
        <v>9780310440741</v>
      </c>
      <c r="T1214" t="str">
        <f>"9780310440758"</f>
        <v>9780310440758</v>
      </c>
      <c r="U1214" t="b">
        <v>0</v>
      </c>
      <c r="W1214" t="b">
        <v>0</v>
      </c>
    </row>
    <row r="1215" spans="1:23" x14ac:dyDescent="0.3">
      <c r="A1215">
        <v>2982111</v>
      </c>
      <c r="B1215">
        <v>68.97</v>
      </c>
      <c r="C1215" t="s">
        <v>2654</v>
      </c>
      <c r="D1215" t="s">
        <v>2655</v>
      </c>
      <c r="E1215" t="s">
        <v>23</v>
      </c>
      <c r="F1215" t="s">
        <v>44</v>
      </c>
      <c r="G1215">
        <v>2011</v>
      </c>
      <c r="H1215" t="s">
        <v>58</v>
      </c>
      <c r="I1215" t="s">
        <v>2656</v>
      </c>
      <c r="J1215" t="s">
        <v>2657</v>
      </c>
      <c r="K1215" t="s">
        <v>25</v>
      </c>
      <c r="L1215" t="s">
        <v>26</v>
      </c>
      <c r="M1215" t="b">
        <v>1</v>
      </c>
      <c r="N1215" t="s">
        <v>1878</v>
      </c>
      <c r="O1215" t="str">
        <f>"243"</f>
        <v>243</v>
      </c>
      <c r="Q1215" t="b">
        <v>0</v>
      </c>
      <c r="S1215" t="str">
        <f>"9780310344704"</f>
        <v>9780310344704</v>
      </c>
      <c r="T1215" t="str">
        <f>"9780310344728"</f>
        <v>9780310344728</v>
      </c>
      <c r="U1215" t="b">
        <v>0</v>
      </c>
      <c r="W1215" t="b">
        <v>0</v>
      </c>
    </row>
    <row r="1216" spans="1:23" x14ac:dyDescent="0.3">
      <c r="A1216">
        <v>2982080</v>
      </c>
      <c r="B1216">
        <v>14.18</v>
      </c>
      <c r="C1216" t="s">
        <v>2658</v>
      </c>
      <c r="D1216" t="s">
        <v>2659</v>
      </c>
      <c r="E1216" t="s">
        <v>23</v>
      </c>
      <c r="F1216" t="s">
        <v>44</v>
      </c>
      <c r="G1216">
        <v>2018</v>
      </c>
      <c r="H1216" t="s">
        <v>772</v>
      </c>
      <c r="K1216" t="s">
        <v>25</v>
      </c>
      <c r="L1216" t="s">
        <v>30</v>
      </c>
      <c r="M1216" t="b">
        <v>1</v>
      </c>
      <c r="N1216" t="s">
        <v>958</v>
      </c>
      <c r="Q1216" t="b">
        <v>1</v>
      </c>
      <c r="T1216" t="str">
        <f>"9780785218333"</f>
        <v>9780785218333</v>
      </c>
      <c r="U1216" t="b">
        <v>0</v>
      </c>
      <c r="W1216" t="b">
        <v>0</v>
      </c>
    </row>
    <row r="1217" spans="1:23" x14ac:dyDescent="0.3">
      <c r="A1217">
        <v>2982061</v>
      </c>
      <c r="B1217">
        <v>44.82</v>
      </c>
      <c r="C1217" t="s">
        <v>2660</v>
      </c>
      <c r="E1217" t="s">
        <v>23</v>
      </c>
      <c r="F1217" t="s">
        <v>44</v>
      </c>
      <c r="G1217">
        <v>2009</v>
      </c>
      <c r="H1217" t="s">
        <v>852</v>
      </c>
      <c r="K1217" t="s">
        <v>25</v>
      </c>
      <c r="L1217" t="s">
        <v>30</v>
      </c>
      <c r="M1217" t="b">
        <v>1</v>
      </c>
      <c r="N1217" t="s">
        <v>741</v>
      </c>
      <c r="Q1217" t="b">
        <v>1</v>
      </c>
      <c r="S1217" t="str">
        <f>"9780310256908"</f>
        <v>9780310256908</v>
      </c>
      <c r="T1217" t="str">
        <f>"9780310570318"</f>
        <v>9780310570318</v>
      </c>
      <c r="U1217" t="b">
        <v>0</v>
      </c>
      <c r="W1217" t="b">
        <v>0</v>
      </c>
    </row>
    <row r="1218" spans="1:23" x14ac:dyDescent="0.3">
      <c r="A1218">
        <v>2982060</v>
      </c>
      <c r="B1218">
        <v>55.17</v>
      </c>
      <c r="C1218" t="s">
        <v>2661</v>
      </c>
      <c r="D1218" t="s">
        <v>2662</v>
      </c>
      <c r="E1218" t="s">
        <v>23</v>
      </c>
      <c r="F1218" t="s">
        <v>44</v>
      </c>
      <c r="G1218">
        <v>2017</v>
      </c>
      <c r="H1218" t="s">
        <v>58</v>
      </c>
      <c r="K1218" t="s">
        <v>25</v>
      </c>
      <c r="L1218" t="s">
        <v>26</v>
      </c>
      <c r="M1218" t="b">
        <v>1</v>
      </c>
      <c r="N1218" t="s">
        <v>135</v>
      </c>
      <c r="Q1218" t="b">
        <v>0</v>
      </c>
      <c r="S1218" t="str">
        <f>"9780310084129"</f>
        <v>9780310084129</v>
      </c>
      <c r="T1218" t="str">
        <f>"9780310084136"</f>
        <v>9780310084136</v>
      </c>
      <c r="U1218" t="b">
        <v>0</v>
      </c>
      <c r="W1218" t="b">
        <v>0</v>
      </c>
    </row>
    <row r="1219" spans="1:23" x14ac:dyDescent="0.3">
      <c r="A1219">
        <v>2982059</v>
      </c>
      <c r="B1219">
        <v>60.37</v>
      </c>
      <c r="C1219" t="s">
        <v>2663</v>
      </c>
      <c r="D1219" t="s">
        <v>2664</v>
      </c>
      <c r="E1219" t="s">
        <v>23</v>
      </c>
      <c r="F1219" t="s">
        <v>44</v>
      </c>
      <c r="G1219">
        <v>2015</v>
      </c>
      <c r="H1219" t="s">
        <v>69</v>
      </c>
      <c r="I1219" t="s">
        <v>1220</v>
      </c>
      <c r="J1219" t="s">
        <v>2665</v>
      </c>
      <c r="K1219" t="s">
        <v>25</v>
      </c>
      <c r="L1219" t="s">
        <v>26</v>
      </c>
      <c r="M1219" t="b">
        <v>1</v>
      </c>
      <c r="N1219" t="s">
        <v>2666</v>
      </c>
      <c r="O1219" t="str">
        <f>"646.7/8"</f>
        <v>646.7/8</v>
      </c>
      <c r="Q1219" t="b">
        <v>0</v>
      </c>
      <c r="S1219" t="str">
        <f>"9780310265641"</f>
        <v>9780310265641</v>
      </c>
      <c r="T1219" t="str">
        <f>"9780310346296"</f>
        <v>9780310346296</v>
      </c>
      <c r="U1219" t="b">
        <v>0</v>
      </c>
      <c r="W1219" t="b">
        <v>0</v>
      </c>
    </row>
    <row r="1220" spans="1:23" x14ac:dyDescent="0.3">
      <c r="A1220">
        <v>2982058</v>
      </c>
      <c r="B1220">
        <v>44.82</v>
      </c>
      <c r="C1220" t="s">
        <v>2667</v>
      </c>
      <c r="E1220" t="s">
        <v>23</v>
      </c>
      <c r="F1220" t="s">
        <v>44</v>
      </c>
      <c r="G1220">
        <v>2009</v>
      </c>
      <c r="H1220" t="s">
        <v>728</v>
      </c>
      <c r="K1220" t="s">
        <v>25</v>
      </c>
      <c r="L1220" t="s">
        <v>30</v>
      </c>
      <c r="M1220" t="b">
        <v>1</v>
      </c>
      <c r="N1220" t="s">
        <v>741</v>
      </c>
      <c r="P1220" t="s">
        <v>2533</v>
      </c>
      <c r="Q1220" t="b">
        <v>1</v>
      </c>
      <c r="S1220" t="str">
        <f>"9780310231202"</f>
        <v>9780310231202</v>
      </c>
      <c r="T1220" t="str">
        <f>"9780310862581"</f>
        <v>9780310862581</v>
      </c>
      <c r="U1220" t="b">
        <v>0</v>
      </c>
      <c r="W1220" t="b">
        <v>0</v>
      </c>
    </row>
    <row r="1221" spans="1:23" x14ac:dyDescent="0.3">
      <c r="A1221">
        <v>2982057</v>
      </c>
      <c r="B1221">
        <v>39.049999999999997</v>
      </c>
      <c r="C1221" t="s">
        <v>2668</v>
      </c>
      <c r="E1221" t="s">
        <v>23</v>
      </c>
      <c r="F1221" t="s">
        <v>44</v>
      </c>
      <c r="G1221">
        <v>2009</v>
      </c>
      <c r="H1221" t="s">
        <v>2535</v>
      </c>
      <c r="K1221" t="s">
        <v>25</v>
      </c>
      <c r="L1221" t="s">
        <v>30</v>
      </c>
      <c r="M1221" t="b">
        <v>1</v>
      </c>
      <c r="N1221" t="s">
        <v>2669</v>
      </c>
      <c r="P1221" t="s">
        <v>2670</v>
      </c>
      <c r="Q1221" t="b">
        <v>1</v>
      </c>
      <c r="T1221" t="str">
        <f>"9780310542544"</f>
        <v>9780310542544</v>
      </c>
      <c r="U1221" t="b">
        <v>0</v>
      </c>
      <c r="W1221" t="b">
        <v>0</v>
      </c>
    </row>
    <row r="1222" spans="1:23" x14ac:dyDescent="0.3">
      <c r="A1222">
        <v>2982056</v>
      </c>
      <c r="B1222">
        <v>65.52</v>
      </c>
      <c r="C1222" t="s">
        <v>2671</v>
      </c>
      <c r="D1222" t="s">
        <v>2672</v>
      </c>
      <c r="E1222" t="s">
        <v>23</v>
      </c>
      <c r="F1222" t="s">
        <v>44</v>
      </c>
      <c r="G1222">
        <v>2021</v>
      </c>
      <c r="H1222" t="s">
        <v>58</v>
      </c>
      <c r="K1222" t="s">
        <v>25</v>
      </c>
      <c r="L1222" t="s">
        <v>26</v>
      </c>
      <c r="M1222" t="b">
        <v>1</v>
      </c>
      <c r="N1222" t="s">
        <v>2673</v>
      </c>
      <c r="Q1222" t="b">
        <v>0</v>
      </c>
      <c r="S1222" t="str">
        <f>"9780310361602"</f>
        <v>9780310361602</v>
      </c>
      <c r="T1222" t="str">
        <f>"9780310361619"</f>
        <v>9780310361619</v>
      </c>
      <c r="U1222" t="b">
        <v>0</v>
      </c>
      <c r="W1222" t="b">
        <v>0</v>
      </c>
    </row>
    <row r="1223" spans="1:23" x14ac:dyDescent="0.3">
      <c r="A1223">
        <v>2982055</v>
      </c>
      <c r="B1223">
        <v>42.61</v>
      </c>
      <c r="C1223" t="s">
        <v>2674</v>
      </c>
      <c r="D1223" t="s">
        <v>2675</v>
      </c>
      <c r="E1223" t="s">
        <v>23</v>
      </c>
      <c r="F1223" t="s">
        <v>44</v>
      </c>
      <c r="G1223">
        <v>2013</v>
      </c>
      <c r="H1223" t="s">
        <v>69</v>
      </c>
      <c r="K1223" t="s">
        <v>25</v>
      </c>
      <c r="L1223" t="s">
        <v>30</v>
      </c>
      <c r="M1223" t="b">
        <v>1</v>
      </c>
      <c r="N1223" t="s">
        <v>2676</v>
      </c>
      <c r="Q1223" t="b">
        <v>0</v>
      </c>
      <c r="T1223" t="str">
        <f>"9780310313571"</f>
        <v>9780310313571</v>
      </c>
      <c r="U1223" t="b">
        <v>0</v>
      </c>
      <c r="W1223" t="b">
        <v>0</v>
      </c>
    </row>
    <row r="1224" spans="1:23" x14ac:dyDescent="0.3">
      <c r="A1224">
        <v>2982054</v>
      </c>
      <c r="B1224">
        <v>51.72</v>
      </c>
      <c r="C1224" t="s">
        <v>2677</v>
      </c>
      <c r="D1224" t="s">
        <v>2511</v>
      </c>
      <c r="E1224" t="s">
        <v>23</v>
      </c>
      <c r="F1224" t="s">
        <v>44</v>
      </c>
      <c r="G1224">
        <v>2009</v>
      </c>
      <c r="H1224" t="s">
        <v>132</v>
      </c>
      <c r="K1224" t="s">
        <v>25</v>
      </c>
      <c r="L1224" t="s">
        <v>30</v>
      </c>
      <c r="M1224" t="b">
        <v>1</v>
      </c>
      <c r="N1224" t="s">
        <v>2678</v>
      </c>
      <c r="Q1224" t="b">
        <v>0</v>
      </c>
      <c r="S1224" t="str">
        <f>"9780310265368"</f>
        <v>9780310265368</v>
      </c>
      <c r="T1224" t="str">
        <f>"9780310317678"</f>
        <v>9780310317678</v>
      </c>
      <c r="U1224" t="b">
        <v>0</v>
      </c>
      <c r="W1224" t="b">
        <v>0</v>
      </c>
    </row>
    <row r="1225" spans="1:23" x14ac:dyDescent="0.3">
      <c r="A1225">
        <v>2982053</v>
      </c>
      <c r="B1225">
        <v>68.97</v>
      </c>
      <c r="C1225" t="s">
        <v>64</v>
      </c>
      <c r="D1225" t="s">
        <v>2679</v>
      </c>
      <c r="E1225" t="s">
        <v>23</v>
      </c>
      <c r="F1225" t="s">
        <v>44</v>
      </c>
      <c r="G1225">
        <v>2012</v>
      </c>
      <c r="H1225" t="s">
        <v>58</v>
      </c>
      <c r="K1225" t="s">
        <v>25</v>
      </c>
      <c r="L1225" t="s">
        <v>26</v>
      </c>
      <c r="M1225" t="b">
        <v>1</v>
      </c>
      <c r="N1225" t="s">
        <v>63</v>
      </c>
      <c r="P1225" t="s">
        <v>64</v>
      </c>
      <c r="Q1225" t="b">
        <v>0</v>
      </c>
      <c r="S1225" t="str">
        <f>"9780310337508"</f>
        <v>9780310337508</v>
      </c>
      <c r="T1225" t="str">
        <f>"9780310329336"</f>
        <v>9780310329336</v>
      </c>
      <c r="U1225" t="b">
        <v>0</v>
      </c>
      <c r="V1225" t="s">
        <v>956</v>
      </c>
      <c r="W1225" t="b">
        <v>0</v>
      </c>
    </row>
    <row r="1226" spans="1:23" x14ac:dyDescent="0.3">
      <c r="A1226">
        <v>2982052</v>
      </c>
      <c r="B1226">
        <v>39.049999999999997</v>
      </c>
      <c r="C1226" t="s">
        <v>2680</v>
      </c>
      <c r="E1226" t="s">
        <v>23</v>
      </c>
      <c r="F1226" t="s">
        <v>44</v>
      </c>
      <c r="G1226">
        <v>2009</v>
      </c>
      <c r="H1226" t="s">
        <v>2681</v>
      </c>
      <c r="K1226" t="s">
        <v>25</v>
      </c>
      <c r="L1226" t="s">
        <v>30</v>
      </c>
      <c r="M1226" t="b">
        <v>1</v>
      </c>
      <c r="N1226" t="s">
        <v>2682</v>
      </c>
      <c r="P1226" t="s">
        <v>2683</v>
      </c>
      <c r="Q1226" t="b">
        <v>1</v>
      </c>
      <c r="T1226" t="str">
        <f>"9780310542391"</f>
        <v>9780310542391</v>
      </c>
      <c r="U1226" t="b">
        <v>0</v>
      </c>
      <c r="W1226" t="b">
        <v>0</v>
      </c>
    </row>
    <row r="1227" spans="1:23" x14ac:dyDescent="0.3">
      <c r="A1227">
        <v>2982051</v>
      </c>
      <c r="B1227">
        <v>46.16</v>
      </c>
      <c r="C1227" t="s">
        <v>2684</v>
      </c>
      <c r="D1227" t="s">
        <v>2685</v>
      </c>
      <c r="E1227" t="s">
        <v>23</v>
      </c>
      <c r="F1227" t="s">
        <v>44</v>
      </c>
      <c r="G1227">
        <v>2009</v>
      </c>
      <c r="H1227" t="s">
        <v>62</v>
      </c>
      <c r="K1227" t="s">
        <v>25</v>
      </c>
      <c r="L1227" t="s">
        <v>30</v>
      </c>
      <c r="M1227" t="b">
        <v>1</v>
      </c>
      <c r="N1227" t="s">
        <v>2686</v>
      </c>
      <c r="Q1227" t="b">
        <v>0</v>
      </c>
      <c r="T1227" t="str">
        <f>"9780310564508"</f>
        <v>9780310564508</v>
      </c>
      <c r="U1227" t="b">
        <v>0</v>
      </c>
      <c r="W1227" t="b">
        <v>0</v>
      </c>
    </row>
    <row r="1228" spans="1:23" x14ac:dyDescent="0.3">
      <c r="A1228">
        <v>2982050</v>
      </c>
      <c r="B1228">
        <v>79.319999999999993</v>
      </c>
      <c r="C1228" t="s">
        <v>2687</v>
      </c>
      <c r="D1228" t="s">
        <v>2688</v>
      </c>
      <c r="E1228" t="s">
        <v>23</v>
      </c>
      <c r="F1228" t="s">
        <v>44</v>
      </c>
      <c r="G1228">
        <v>2015</v>
      </c>
      <c r="H1228" t="s">
        <v>132</v>
      </c>
      <c r="K1228" t="s">
        <v>25</v>
      </c>
      <c r="L1228" t="s">
        <v>26</v>
      </c>
      <c r="M1228" t="b">
        <v>1</v>
      </c>
      <c r="N1228" t="s">
        <v>2689</v>
      </c>
      <c r="Q1228" t="b">
        <v>0</v>
      </c>
      <c r="S1228" t="str">
        <f>"9780310346203"</f>
        <v>9780310346203</v>
      </c>
      <c r="T1228" t="str">
        <f>"9780310344568"</f>
        <v>9780310344568</v>
      </c>
      <c r="U1228" t="b">
        <v>0</v>
      </c>
      <c r="W1228" t="b">
        <v>0</v>
      </c>
    </row>
    <row r="1229" spans="1:23" x14ac:dyDescent="0.3">
      <c r="A1229">
        <v>2982049</v>
      </c>
      <c r="B1229">
        <v>58.62</v>
      </c>
      <c r="C1229" t="s">
        <v>2690</v>
      </c>
      <c r="D1229" t="s">
        <v>2691</v>
      </c>
      <c r="E1229" t="s">
        <v>23</v>
      </c>
      <c r="F1229" t="s">
        <v>44</v>
      </c>
      <c r="G1229">
        <v>2009</v>
      </c>
      <c r="H1229" t="s">
        <v>99</v>
      </c>
      <c r="K1229" t="s">
        <v>25</v>
      </c>
      <c r="L1229" t="s">
        <v>30</v>
      </c>
      <c r="M1229" t="b">
        <v>1</v>
      </c>
      <c r="N1229" t="s">
        <v>2692</v>
      </c>
      <c r="Q1229" t="b">
        <v>0</v>
      </c>
      <c r="S1229" t="str">
        <f>"9780310350378"</f>
        <v>9780310350378</v>
      </c>
      <c r="T1229" t="str">
        <f>"9780310320869"</f>
        <v>9780310320869</v>
      </c>
      <c r="U1229" t="b">
        <v>0</v>
      </c>
      <c r="W1229" t="b">
        <v>0</v>
      </c>
    </row>
    <row r="1230" spans="1:23" x14ac:dyDescent="0.3">
      <c r="A1230">
        <v>2982048</v>
      </c>
      <c r="B1230">
        <v>58.62</v>
      </c>
      <c r="C1230" t="s">
        <v>2693</v>
      </c>
      <c r="D1230" t="s">
        <v>2694</v>
      </c>
      <c r="E1230" t="s">
        <v>23</v>
      </c>
      <c r="F1230" t="s">
        <v>44</v>
      </c>
      <c r="G1230">
        <v>2015</v>
      </c>
      <c r="H1230" t="s">
        <v>58</v>
      </c>
      <c r="K1230" t="s">
        <v>25</v>
      </c>
      <c r="L1230" t="s">
        <v>30</v>
      </c>
      <c r="M1230" t="b">
        <v>1</v>
      </c>
      <c r="N1230" t="s">
        <v>2616</v>
      </c>
      <c r="Q1230" t="b">
        <v>0</v>
      </c>
      <c r="S1230" t="str">
        <f>"9780310342083"</f>
        <v>9780310342083</v>
      </c>
      <c r="T1230" t="str">
        <f>"9780310342458"</f>
        <v>9780310342458</v>
      </c>
      <c r="U1230" t="b">
        <v>0</v>
      </c>
      <c r="W1230" t="b">
        <v>0</v>
      </c>
    </row>
    <row r="1231" spans="1:23" x14ac:dyDescent="0.3">
      <c r="A1231">
        <v>2982047</v>
      </c>
      <c r="B1231">
        <v>7.07</v>
      </c>
      <c r="C1231" t="s">
        <v>2695</v>
      </c>
      <c r="E1231" t="s">
        <v>23</v>
      </c>
      <c r="F1231" t="s">
        <v>44</v>
      </c>
      <c r="G1231">
        <v>2011</v>
      </c>
      <c r="H1231" t="s">
        <v>1384</v>
      </c>
      <c r="K1231" t="s">
        <v>25</v>
      </c>
      <c r="L1231" t="s">
        <v>30</v>
      </c>
      <c r="M1231" t="b">
        <v>1</v>
      </c>
      <c r="N1231" t="s">
        <v>44</v>
      </c>
      <c r="Q1231" t="b">
        <v>0</v>
      </c>
      <c r="T1231" t="str">
        <f>"9780310442325"</f>
        <v>9780310442325</v>
      </c>
      <c r="U1231" t="b">
        <v>0</v>
      </c>
      <c r="W1231" t="b">
        <v>0</v>
      </c>
    </row>
    <row r="1232" spans="1:23" x14ac:dyDescent="0.3">
      <c r="A1232">
        <v>2982046</v>
      </c>
      <c r="B1232">
        <v>44.82</v>
      </c>
      <c r="C1232" t="s">
        <v>2696</v>
      </c>
      <c r="E1232" t="s">
        <v>23</v>
      </c>
      <c r="F1232" t="s">
        <v>44</v>
      </c>
      <c r="G1232">
        <v>2010</v>
      </c>
      <c r="H1232" t="s">
        <v>1559</v>
      </c>
      <c r="K1232" t="s">
        <v>25</v>
      </c>
      <c r="L1232" t="s">
        <v>30</v>
      </c>
      <c r="M1232" t="b">
        <v>1</v>
      </c>
      <c r="N1232" t="s">
        <v>740</v>
      </c>
      <c r="P1232" t="s">
        <v>1560</v>
      </c>
      <c r="Q1232" t="b">
        <v>0</v>
      </c>
      <c r="S1232" t="str">
        <f>"9780310721437"</f>
        <v>9780310721437</v>
      </c>
      <c r="T1232" t="str">
        <f>"9780310407539"</f>
        <v>9780310407539</v>
      </c>
      <c r="U1232" t="b">
        <v>0</v>
      </c>
      <c r="W1232" t="b">
        <v>0</v>
      </c>
    </row>
    <row r="1233" spans="1:23" x14ac:dyDescent="0.3">
      <c r="A1233">
        <v>2982044</v>
      </c>
      <c r="B1233">
        <v>93.12</v>
      </c>
      <c r="C1233" t="s">
        <v>2697</v>
      </c>
      <c r="D1233" t="s">
        <v>2698</v>
      </c>
      <c r="E1233" t="s">
        <v>23</v>
      </c>
      <c r="F1233" t="s">
        <v>44</v>
      </c>
      <c r="G1233">
        <v>2019</v>
      </c>
      <c r="H1233" t="s">
        <v>56</v>
      </c>
      <c r="K1233" t="s">
        <v>25</v>
      </c>
      <c r="L1233" t="s">
        <v>26</v>
      </c>
      <c r="M1233" t="b">
        <v>1</v>
      </c>
      <c r="N1233" t="s">
        <v>2641</v>
      </c>
      <c r="Q1233" t="b">
        <v>0</v>
      </c>
      <c r="S1233" t="str">
        <f>"9780310346760"</f>
        <v>9780310346760</v>
      </c>
      <c r="T1233" t="str">
        <f>"9780310346791"</f>
        <v>9780310346791</v>
      </c>
      <c r="U1233" t="b">
        <v>0</v>
      </c>
      <c r="W1233" t="b">
        <v>0</v>
      </c>
    </row>
    <row r="1234" spans="1:23" x14ac:dyDescent="0.3">
      <c r="A1234">
        <v>2982043</v>
      </c>
      <c r="B1234">
        <v>46.16</v>
      </c>
      <c r="C1234" t="s">
        <v>2699</v>
      </c>
      <c r="D1234" t="s">
        <v>970</v>
      </c>
      <c r="E1234" t="s">
        <v>23</v>
      </c>
      <c r="F1234" t="s">
        <v>44</v>
      </c>
      <c r="G1234">
        <v>2016</v>
      </c>
      <c r="H1234" t="s">
        <v>132</v>
      </c>
      <c r="K1234" t="s">
        <v>25</v>
      </c>
      <c r="L1234" t="s">
        <v>26</v>
      </c>
      <c r="M1234" t="b">
        <v>1</v>
      </c>
      <c r="N1234" t="s">
        <v>968</v>
      </c>
      <c r="Q1234" t="b">
        <v>0</v>
      </c>
      <c r="S1234" t="str">
        <f>"9780310347132"</f>
        <v>9780310347132</v>
      </c>
      <c r="T1234" t="str">
        <f>"9780310347156"</f>
        <v>9780310347156</v>
      </c>
      <c r="U1234" t="b">
        <v>0</v>
      </c>
      <c r="W1234" t="b">
        <v>0</v>
      </c>
    </row>
    <row r="1235" spans="1:23" x14ac:dyDescent="0.3">
      <c r="A1235">
        <v>2982042</v>
      </c>
      <c r="B1235">
        <v>46.16</v>
      </c>
      <c r="C1235" t="s">
        <v>2700</v>
      </c>
      <c r="D1235" t="s">
        <v>2701</v>
      </c>
      <c r="E1235" t="s">
        <v>23</v>
      </c>
      <c r="F1235" t="s">
        <v>44</v>
      </c>
      <c r="G1235">
        <v>2009</v>
      </c>
      <c r="H1235" t="s">
        <v>2702</v>
      </c>
      <c r="K1235" t="s">
        <v>25</v>
      </c>
      <c r="L1235" t="s">
        <v>30</v>
      </c>
      <c r="M1235" t="b">
        <v>1</v>
      </c>
      <c r="N1235" t="s">
        <v>280</v>
      </c>
      <c r="Q1235" t="b">
        <v>0</v>
      </c>
      <c r="T1235" t="str">
        <f>"9780310559481"</f>
        <v>9780310559481</v>
      </c>
      <c r="U1235" t="b">
        <v>0</v>
      </c>
      <c r="W1235" t="b">
        <v>0</v>
      </c>
    </row>
    <row r="1236" spans="1:23" x14ac:dyDescent="0.3">
      <c r="A1236">
        <v>2982041</v>
      </c>
      <c r="B1236">
        <v>65.52</v>
      </c>
      <c r="C1236" t="s">
        <v>2703</v>
      </c>
      <c r="D1236" t="s">
        <v>2704</v>
      </c>
      <c r="E1236" t="s">
        <v>23</v>
      </c>
      <c r="F1236" t="s">
        <v>44</v>
      </c>
      <c r="G1236">
        <v>2012</v>
      </c>
      <c r="H1236" t="s">
        <v>69</v>
      </c>
      <c r="K1236" t="s">
        <v>25</v>
      </c>
      <c r="L1236" t="s">
        <v>30</v>
      </c>
      <c r="M1236" t="b">
        <v>1</v>
      </c>
      <c r="N1236" t="s">
        <v>2705</v>
      </c>
      <c r="Q1236" t="b">
        <v>0</v>
      </c>
      <c r="S1236" t="str">
        <f>"9780310328384"</f>
        <v>9780310328384</v>
      </c>
      <c r="T1236" t="str">
        <f>"9780310599319"</f>
        <v>9780310599319</v>
      </c>
      <c r="U1236" t="b">
        <v>0</v>
      </c>
      <c r="W1236" t="b">
        <v>0</v>
      </c>
    </row>
    <row r="1237" spans="1:23" x14ac:dyDescent="0.3">
      <c r="A1237">
        <v>2982040</v>
      </c>
      <c r="B1237">
        <v>14.18</v>
      </c>
      <c r="C1237" t="s">
        <v>2706</v>
      </c>
      <c r="D1237" t="s">
        <v>2707</v>
      </c>
      <c r="E1237" t="s">
        <v>23</v>
      </c>
      <c r="F1237" t="s">
        <v>44</v>
      </c>
      <c r="G1237">
        <v>2018</v>
      </c>
      <c r="H1237" t="s">
        <v>772</v>
      </c>
      <c r="K1237" t="s">
        <v>25</v>
      </c>
      <c r="L1237" t="s">
        <v>30</v>
      </c>
      <c r="M1237" t="b">
        <v>1</v>
      </c>
      <c r="N1237" t="s">
        <v>742</v>
      </c>
      <c r="Q1237" t="b">
        <v>1</v>
      </c>
      <c r="T1237" t="str">
        <f>"9780310352013"</f>
        <v>9780310352013</v>
      </c>
      <c r="U1237" t="b">
        <v>0</v>
      </c>
      <c r="W1237" t="b">
        <v>0</v>
      </c>
    </row>
    <row r="1238" spans="1:23" x14ac:dyDescent="0.3">
      <c r="A1238">
        <v>2982039</v>
      </c>
      <c r="B1238">
        <v>51.72</v>
      </c>
      <c r="C1238" t="s">
        <v>2708</v>
      </c>
      <c r="E1238" t="s">
        <v>23</v>
      </c>
      <c r="F1238" t="s">
        <v>44</v>
      </c>
      <c r="G1238">
        <v>2009</v>
      </c>
      <c r="H1238" t="s">
        <v>66</v>
      </c>
      <c r="K1238" t="s">
        <v>25</v>
      </c>
      <c r="L1238" t="s">
        <v>30</v>
      </c>
      <c r="M1238" t="b">
        <v>1</v>
      </c>
      <c r="N1238" t="s">
        <v>2709</v>
      </c>
      <c r="P1238" t="s">
        <v>2710</v>
      </c>
      <c r="Q1238" t="b">
        <v>1</v>
      </c>
      <c r="S1238" t="str">
        <f>"9780310251057"</f>
        <v>9780310251057</v>
      </c>
      <c r="T1238" t="str">
        <f>"9780310317364"</f>
        <v>9780310317364</v>
      </c>
      <c r="U1238" t="b">
        <v>0</v>
      </c>
      <c r="W1238" t="b">
        <v>0</v>
      </c>
    </row>
    <row r="1239" spans="1:23" x14ac:dyDescent="0.3">
      <c r="A1239">
        <v>2982038</v>
      </c>
      <c r="B1239">
        <v>44.82</v>
      </c>
      <c r="C1239" t="s">
        <v>2711</v>
      </c>
      <c r="D1239" t="s">
        <v>2712</v>
      </c>
      <c r="E1239" t="s">
        <v>23</v>
      </c>
      <c r="F1239" t="s">
        <v>44</v>
      </c>
      <c r="G1239">
        <v>2008</v>
      </c>
      <c r="H1239" t="s">
        <v>2713</v>
      </c>
      <c r="K1239" t="s">
        <v>25</v>
      </c>
      <c r="L1239" t="s">
        <v>30</v>
      </c>
      <c r="M1239" t="b">
        <v>1</v>
      </c>
      <c r="N1239" t="s">
        <v>2714</v>
      </c>
      <c r="Q1239" t="b">
        <v>0</v>
      </c>
      <c r="S1239" t="str">
        <f>"9780310259541"</f>
        <v>9780310259541</v>
      </c>
      <c r="T1239" t="str">
        <f>"9780310319511"</f>
        <v>9780310319511</v>
      </c>
      <c r="U1239" t="b">
        <v>0</v>
      </c>
      <c r="W1239" t="b">
        <v>0</v>
      </c>
    </row>
    <row r="1240" spans="1:23" x14ac:dyDescent="0.3">
      <c r="A1240">
        <v>2982037</v>
      </c>
      <c r="B1240">
        <v>49.71</v>
      </c>
      <c r="C1240" t="s">
        <v>2715</v>
      </c>
      <c r="E1240" t="s">
        <v>23</v>
      </c>
      <c r="F1240" t="s">
        <v>44</v>
      </c>
      <c r="G1240">
        <v>2009</v>
      </c>
      <c r="H1240" t="s">
        <v>1122</v>
      </c>
      <c r="I1240" t="s">
        <v>2716</v>
      </c>
      <c r="J1240" t="s">
        <v>2717</v>
      </c>
      <c r="K1240" t="s">
        <v>25</v>
      </c>
      <c r="L1240" t="s">
        <v>30</v>
      </c>
      <c r="M1240" t="b">
        <v>1</v>
      </c>
      <c r="N1240" t="s">
        <v>2718</v>
      </c>
      <c r="O1240" t="str">
        <f>"253.7"</f>
        <v>253.7</v>
      </c>
      <c r="Q1240" t="b">
        <v>0</v>
      </c>
      <c r="T1240" t="str">
        <f>"9780310539889"</f>
        <v>9780310539889</v>
      </c>
      <c r="U1240" t="b">
        <v>0</v>
      </c>
      <c r="W1240" t="b">
        <v>0</v>
      </c>
    </row>
    <row r="1241" spans="1:23" x14ac:dyDescent="0.3">
      <c r="A1241">
        <v>2982036</v>
      </c>
      <c r="B1241">
        <v>58.62</v>
      </c>
      <c r="C1241" t="s">
        <v>2719</v>
      </c>
      <c r="D1241" t="s">
        <v>2720</v>
      </c>
      <c r="E1241" t="s">
        <v>23</v>
      </c>
      <c r="F1241" t="s">
        <v>44</v>
      </c>
      <c r="G1241">
        <v>2017</v>
      </c>
      <c r="H1241" t="s">
        <v>132</v>
      </c>
      <c r="K1241" t="s">
        <v>25</v>
      </c>
      <c r="L1241" t="s">
        <v>26</v>
      </c>
      <c r="M1241" t="b">
        <v>1</v>
      </c>
      <c r="N1241" t="s">
        <v>2721</v>
      </c>
      <c r="Q1241" t="b">
        <v>0</v>
      </c>
      <c r="S1241" t="str">
        <f>"9780310349594"</f>
        <v>9780310349594</v>
      </c>
      <c r="T1241" t="str">
        <f>"9780310349600"</f>
        <v>9780310349600</v>
      </c>
      <c r="U1241" t="b">
        <v>0</v>
      </c>
      <c r="W1241" t="b">
        <v>0</v>
      </c>
    </row>
    <row r="1242" spans="1:23" x14ac:dyDescent="0.3">
      <c r="A1242">
        <v>2982035</v>
      </c>
      <c r="B1242">
        <v>55.17</v>
      </c>
      <c r="C1242" t="s">
        <v>2722</v>
      </c>
      <c r="D1242" t="s">
        <v>2723</v>
      </c>
      <c r="E1242" t="s">
        <v>23</v>
      </c>
      <c r="F1242" t="s">
        <v>44</v>
      </c>
      <c r="G1242">
        <v>2020</v>
      </c>
      <c r="H1242" t="s">
        <v>772</v>
      </c>
      <c r="K1242" t="s">
        <v>25</v>
      </c>
      <c r="L1242" t="s">
        <v>26</v>
      </c>
      <c r="M1242" t="b">
        <v>1</v>
      </c>
      <c r="N1242" t="s">
        <v>2724</v>
      </c>
      <c r="Q1242" t="b">
        <v>1</v>
      </c>
      <c r="S1242" t="str">
        <f>"9780310361398"</f>
        <v>9780310361398</v>
      </c>
      <c r="T1242" t="str">
        <f>"9780310361404"</f>
        <v>9780310361404</v>
      </c>
      <c r="U1242" t="b">
        <v>0</v>
      </c>
      <c r="W1242" t="b">
        <v>0</v>
      </c>
    </row>
    <row r="1243" spans="1:23" x14ac:dyDescent="0.3">
      <c r="A1243">
        <v>2982034</v>
      </c>
      <c r="B1243">
        <v>39.049999999999997</v>
      </c>
      <c r="C1243" t="s">
        <v>2725</v>
      </c>
      <c r="E1243" t="s">
        <v>23</v>
      </c>
      <c r="F1243" t="s">
        <v>44</v>
      </c>
      <c r="G1243">
        <v>2009</v>
      </c>
      <c r="H1243" t="s">
        <v>2535</v>
      </c>
      <c r="K1243" t="s">
        <v>25</v>
      </c>
      <c r="L1243" t="s">
        <v>30</v>
      </c>
      <c r="M1243" t="b">
        <v>1</v>
      </c>
      <c r="N1243" t="s">
        <v>2726</v>
      </c>
      <c r="Q1243" t="b">
        <v>1</v>
      </c>
      <c r="T1243" t="str">
        <f>"9780310298410"</f>
        <v>9780310298410</v>
      </c>
      <c r="U1243" t="b">
        <v>0</v>
      </c>
      <c r="W1243" t="b">
        <v>0</v>
      </c>
    </row>
    <row r="1244" spans="1:23" x14ac:dyDescent="0.3">
      <c r="A1244">
        <v>2982033</v>
      </c>
      <c r="B1244">
        <v>55.17</v>
      </c>
      <c r="C1244" t="s">
        <v>2727</v>
      </c>
      <c r="D1244" t="s">
        <v>2728</v>
      </c>
      <c r="E1244" t="s">
        <v>23</v>
      </c>
      <c r="F1244" t="s">
        <v>44</v>
      </c>
      <c r="G1244">
        <v>2008</v>
      </c>
      <c r="H1244" t="s">
        <v>728</v>
      </c>
      <c r="K1244" t="s">
        <v>25</v>
      </c>
      <c r="L1244" t="s">
        <v>30</v>
      </c>
      <c r="M1244" t="b">
        <v>1</v>
      </c>
      <c r="N1244" t="s">
        <v>31</v>
      </c>
      <c r="P1244" t="s">
        <v>2729</v>
      </c>
      <c r="Q1244" t="b">
        <v>1</v>
      </c>
      <c r="S1244" t="str">
        <f>"9780310257714"</f>
        <v>9780310257714</v>
      </c>
      <c r="T1244" t="str">
        <f>"9780310295051"</f>
        <v>9780310295051</v>
      </c>
      <c r="U1244" t="b">
        <v>0</v>
      </c>
      <c r="W1244" t="b">
        <v>0</v>
      </c>
    </row>
    <row r="1245" spans="1:23" x14ac:dyDescent="0.3">
      <c r="A1245">
        <v>2982032</v>
      </c>
      <c r="B1245">
        <v>55.17</v>
      </c>
      <c r="C1245" t="s">
        <v>2730</v>
      </c>
      <c r="E1245" t="s">
        <v>23</v>
      </c>
      <c r="F1245" t="s">
        <v>44</v>
      </c>
      <c r="G1245">
        <v>2009</v>
      </c>
      <c r="H1245" t="s">
        <v>66</v>
      </c>
      <c r="K1245" t="s">
        <v>25</v>
      </c>
      <c r="L1245" t="s">
        <v>30</v>
      </c>
      <c r="M1245" t="b">
        <v>1</v>
      </c>
      <c r="N1245" t="s">
        <v>77</v>
      </c>
      <c r="P1245" t="s">
        <v>2605</v>
      </c>
      <c r="Q1245" t="b">
        <v>1</v>
      </c>
      <c r="S1245" t="str">
        <f>"9780310337782"</f>
        <v>9780310337782</v>
      </c>
      <c r="T1245" t="str">
        <f>"9780310565871"</f>
        <v>9780310565871</v>
      </c>
      <c r="U1245" t="b">
        <v>0</v>
      </c>
      <c r="W1245" t="b">
        <v>0</v>
      </c>
    </row>
    <row r="1246" spans="1:23" x14ac:dyDescent="0.3">
      <c r="A1246">
        <v>2982031</v>
      </c>
      <c r="B1246">
        <v>75.87</v>
      </c>
      <c r="C1246" t="s">
        <v>2731</v>
      </c>
      <c r="E1246" t="s">
        <v>23</v>
      </c>
      <c r="F1246" t="s">
        <v>44</v>
      </c>
      <c r="G1246">
        <v>2011</v>
      </c>
      <c r="H1246" t="s">
        <v>728</v>
      </c>
      <c r="K1246" t="s">
        <v>25</v>
      </c>
      <c r="L1246" t="s">
        <v>30</v>
      </c>
      <c r="M1246" t="b">
        <v>1</v>
      </c>
      <c r="N1246" t="s">
        <v>31</v>
      </c>
      <c r="P1246" t="s">
        <v>2732</v>
      </c>
      <c r="Q1246" t="b">
        <v>1</v>
      </c>
      <c r="S1246" t="str">
        <f>"9780310276371"</f>
        <v>9780310276371</v>
      </c>
      <c r="T1246" t="str">
        <f>"9780310427575"</f>
        <v>9780310427575</v>
      </c>
      <c r="U1246" t="b">
        <v>0</v>
      </c>
      <c r="W1246" t="b">
        <v>0</v>
      </c>
    </row>
    <row r="1247" spans="1:23" x14ac:dyDescent="0.3">
      <c r="A1247">
        <v>2982030</v>
      </c>
      <c r="B1247">
        <v>42.61</v>
      </c>
      <c r="C1247" t="s">
        <v>2733</v>
      </c>
      <c r="E1247" t="s">
        <v>23</v>
      </c>
      <c r="F1247" t="s">
        <v>44</v>
      </c>
      <c r="G1247">
        <v>2009</v>
      </c>
      <c r="H1247" t="s">
        <v>62</v>
      </c>
      <c r="K1247" t="s">
        <v>25</v>
      </c>
      <c r="L1247" t="s">
        <v>30</v>
      </c>
      <c r="M1247" t="b">
        <v>1</v>
      </c>
      <c r="N1247" t="s">
        <v>2686</v>
      </c>
      <c r="Q1247" t="b">
        <v>0</v>
      </c>
      <c r="T1247" t="str">
        <f>"9780310864202"</f>
        <v>9780310864202</v>
      </c>
      <c r="U1247" t="b">
        <v>0</v>
      </c>
      <c r="W1247" t="b">
        <v>0</v>
      </c>
    </row>
    <row r="1248" spans="1:23" x14ac:dyDescent="0.3">
      <c r="A1248">
        <v>2982029</v>
      </c>
      <c r="B1248">
        <v>58.62</v>
      </c>
      <c r="C1248" t="s">
        <v>2734</v>
      </c>
      <c r="E1248" t="s">
        <v>23</v>
      </c>
      <c r="F1248" t="s">
        <v>44</v>
      </c>
      <c r="G1248">
        <v>2009</v>
      </c>
      <c r="H1248" t="s">
        <v>58</v>
      </c>
      <c r="K1248" t="s">
        <v>25</v>
      </c>
      <c r="L1248" t="s">
        <v>26</v>
      </c>
      <c r="M1248" t="b">
        <v>1</v>
      </c>
      <c r="N1248" t="s">
        <v>2616</v>
      </c>
      <c r="Q1248" t="b">
        <v>0</v>
      </c>
      <c r="S1248" t="str">
        <f>"9780310340485"</f>
        <v>9780310340485</v>
      </c>
      <c r="T1248" t="str">
        <f>"9780310565772"</f>
        <v>9780310565772</v>
      </c>
      <c r="U1248" t="b">
        <v>0</v>
      </c>
      <c r="W1248" t="b">
        <v>0</v>
      </c>
    </row>
    <row r="1249" spans="1:23" x14ac:dyDescent="0.3">
      <c r="A1249">
        <v>2982028</v>
      </c>
      <c r="B1249">
        <v>62.07</v>
      </c>
      <c r="C1249" t="s">
        <v>2735</v>
      </c>
      <c r="D1249" t="s">
        <v>2736</v>
      </c>
      <c r="E1249" t="s">
        <v>23</v>
      </c>
      <c r="F1249" t="s">
        <v>44</v>
      </c>
      <c r="G1249">
        <v>2015</v>
      </c>
      <c r="H1249" t="s">
        <v>89</v>
      </c>
      <c r="K1249" t="s">
        <v>25</v>
      </c>
      <c r="L1249" t="s">
        <v>30</v>
      </c>
      <c r="M1249" t="b">
        <v>1</v>
      </c>
      <c r="N1249" t="s">
        <v>904</v>
      </c>
      <c r="Q1249" t="b">
        <v>0</v>
      </c>
      <c r="S1249" t="str">
        <f>"9780310339649"</f>
        <v>9780310339649</v>
      </c>
      <c r="T1249" t="str">
        <f>"9780310339656"</f>
        <v>9780310339656</v>
      </c>
      <c r="U1249" t="b">
        <v>0</v>
      </c>
      <c r="W1249" t="b">
        <v>0</v>
      </c>
    </row>
    <row r="1250" spans="1:23" x14ac:dyDescent="0.3">
      <c r="A1250">
        <v>2982027</v>
      </c>
      <c r="B1250">
        <v>55.17</v>
      </c>
      <c r="C1250" t="s">
        <v>2737</v>
      </c>
      <c r="D1250" t="s">
        <v>2738</v>
      </c>
      <c r="E1250" t="s">
        <v>23</v>
      </c>
      <c r="F1250" t="s">
        <v>44</v>
      </c>
      <c r="G1250">
        <v>2010</v>
      </c>
      <c r="H1250" t="s">
        <v>62</v>
      </c>
      <c r="K1250" t="s">
        <v>25</v>
      </c>
      <c r="L1250" t="s">
        <v>30</v>
      </c>
      <c r="M1250" t="b">
        <v>1</v>
      </c>
      <c r="N1250" t="s">
        <v>2739</v>
      </c>
      <c r="Q1250" t="b">
        <v>0</v>
      </c>
      <c r="S1250" t="str">
        <f>"9780310337577"</f>
        <v>9780310337577</v>
      </c>
      <c r="T1250" t="str">
        <f>"9780310421665"</f>
        <v>9780310421665</v>
      </c>
      <c r="U1250" t="b">
        <v>0</v>
      </c>
      <c r="W1250" t="b">
        <v>0</v>
      </c>
    </row>
    <row r="1251" spans="1:23" x14ac:dyDescent="0.3">
      <c r="A1251">
        <v>2982026</v>
      </c>
      <c r="B1251">
        <v>51.72</v>
      </c>
      <c r="C1251" t="s">
        <v>2740</v>
      </c>
      <c r="D1251" t="s">
        <v>2741</v>
      </c>
      <c r="E1251" t="s">
        <v>23</v>
      </c>
      <c r="F1251" t="s">
        <v>44</v>
      </c>
      <c r="G1251">
        <v>2009</v>
      </c>
      <c r="H1251" t="s">
        <v>62</v>
      </c>
      <c r="K1251" t="s">
        <v>25</v>
      </c>
      <c r="L1251" t="s">
        <v>30</v>
      </c>
      <c r="M1251" t="b">
        <v>1</v>
      </c>
      <c r="N1251" t="s">
        <v>2742</v>
      </c>
      <c r="Q1251" t="b">
        <v>0</v>
      </c>
      <c r="S1251" t="str">
        <f>"9780310256700"</f>
        <v>9780310256700</v>
      </c>
      <c r="T1251" t="str">
        <f>"9780310861249"</f>
        <v>9780310861249</v>
      </c>
      <c r="U1251" t="b">
        <v>0</v>
      </c>
      <c r="W1251" t="b">
        <v>0</v>
      </c>
    </row>
    <row r="1252" spans="1:23" x14ac:dyDescent="0.3">
      <c r="A1252">
        <v>2982022</v>
      </c>
      <c r="B1252">
        <v>62.07</v>
      </c>
      <c r="C1252" t="s">
        <v>2743</v>
      </c>
      <c r="D1252" t="s">
        <v>2744</v>
      </c>
      <c r="E1252" t="s">
        <v>23</v>
      </c>
      <c r="F1252" t="s">
        <v>44</v>
      </c>
      <c r="G1252">
        <v>2016</v>
      </c>
      <c r="H1252" t="s">
        <v>99</v>
      </c>
      <c r="K1252" t="s">
        <v>25</v>
      </c>
      <c r="L1252" t="s">
        <v>26</v>
      </c>
      <c r="M1252" t="b">
        <v>1</v>
      </c>
      <c r="N1252" t="s">
        <v>904</v>
      </c>
      <c r="Q1252" t="b">
        <v>0</v>
      </c>
      <c r="S1252" t="str">
        <f>"9780310339670"</f>
        <v>9780310339670</v>
      </c>
      <c r="T1252" t="str">
        <f>"9780310339687"</f>
        <v>9780310339687</v>
      </c>
      <c r="U1252" t="b">
        <v>0</v>
      </c>
      <c r="W1252" t="b">
        <v>0</v>
      </c>
    </row>
    <row r="1253" spans="1:23" x14ac:dyDescent="0.3">
      <c r="A1253">
        <v>2982021</v>
      </c>
      <c r="B1253">
        <v>39.049999999999997</v>
      </c>
      <c r="C1253" t="s">
        <v>2745</v>
      </c>
      <c r="E1253" t="s">
        <v>23</v>
      </c>
      <c r="F1253" t="s">
        <v>44</v>
      </c>
      <c r="G1253">
        <v>2009</v>
      </c>
      <c r="H1253" t="s">
        <v>2746</v>
      </c>
      <c r="K1253" t="s">
        <v>25</v>
      </c>
      <c r="L1253" t="s">
        <v>30</v>
      </c>
      <c r="M1253" t="b">
        <v>1</v>
      </c>
      <c r="N1253" t="s">
        <v>2747</v>
      </c>
      <c r="P1253" t="s">
        <v>2748</v>
      </c>
      <c r="Q1253" t="b">
        <v>1</v>
      </c>
      <c r="T1253" t="str">
        <f>"9780310559696"</f>
        <v>9780310559696</v>
      </c>
      <c r="U1253" t="b">
        <v>0</v>
      </c>
      <c r="W1253" t="b">
        <v>0</v>
      </c>
    </row>
    <row r="1254" spans="1:23" x14ac:dyDescent="0.3">
      <c r="A1254">
        <v>2982020</v>
      </c>
      <c r="B1254">
        <v>68.97</v>
      </c>
      <c r="C1254" t="s">
        <v>2749</v>
      </c>
      <c r="E1254" t="s">
        <v>23</v>
      </c>
      <c r="F1254" t="s">
        <v>44</v>
      </c>
      <c r="G1254">
        <v>2020</v>
      </c>
      <c r="H1254" t="s">
        <v>730</v>
      </c>
      <c r="K1254" t="s">
        <v>25</v>
      </c>
      <c r="L1254" t="s">
        <v>26</v>
      </c>
      <c r="M1254" t="b">
        <v>1</v>
      </c>
      <c r="N1254" t="s">
        <v>2750</v>
      </c>
      <c r="Q1254" t="b">
        <v>0</v>
      </c>
      <c r="S1254" t="str">
        <f>"9780310110118"</f>
        <v>9780310110118</v>
      </c>
      <c r="T1254" t="str">
        <f>"9780310110125"</f>
        <v>9780310110125</v>
      </c>
      <c r="U1254" t="b">
        <v>0</v>
      </c>
      <c r="W1254" t="b">
        <v>0</v>
      </c>
    </row>
    <row r="1255" spans="1:23" x14ac:dyDescent="0.3">
      <c r="A1255">
        <v>2982019</v>
      </c>
      <c r="B1255">
        <v>42.61</v>
      </c>
      <c r="C1255" t="s">
        <v>2751</v>
      </c>
      <c r="D1255" t="s">
        <v>2752</v>
      </c>
      <c r="E1255" t="s">
        <v>23</v>
      </c>
      <c r="F1255" t="s">
        <v>44</v>
      </c>
      <c r="G1255">
        <v>2009</v>
      </c>
      <c r="H1255" t="s">
        <v>132</v>
      </c>
      <c r="K1255" t="s">
        <v>25</v>
      </c>
      <c r="L1255" t="s">
        <v>30</v>
      </c>
      <c r="M1255" t="b">
        <v>1</v>
      </c>
      <c r="N1255" t="s">
        <v>2641</v>
      </c>
      <c r="Q1255" t="b">
        <v>0</v>
      </c>
      <c r="T1255" t="str">
        <f>"9780310317487"</f>
        <v>9780310317487</v>
      </c>
      <c r="U1255" t="b">
        <v>0</v>
      </c>
      <c r="W1255" t="b">
        <v>0</v>
      </c>
    </row>
    <row r="1256" spans="1:23" x14ac:dyDescent="0.3">
      <c r="A1256">
        <v>2982018</v>
      </c>
      <c r="B1256">
        <v>14.18</v>
      </c>
      <c r="C1256" t="s">
        <v>2753</v>
      </c>
      <c r="D1256" t="s">
        <v>2754</v>
      </c>
      <c r="E1256" t="s">
        <v>23</v>
      </c>
      <c r="F1256" t="s">
        <v>44</v>
      </c>
      <c r="G1256">
        <v>2018</v>
      </c>
      <c r="H1256" t="s">
        <v>772</v>
      </c>
      <c r="K1256" t="s">
        <v>25</v>
      </c>
      <c r="L1256" t="s">
        <v>30</v>
      </c>
      <c r="M1256" t="b">
        <v>1</v>
      </c>
      <c r="N1256" t="s">
        <v>742</v>
      </c>
      <c r="Q1256" t="b">
        <v>1</v>
      </c>
      <c r="T1256" t="str">
        <f>"9780310352648"</f>
        <v>9780310352648</v>
      </c>
      <c r="U1256" t="b">
        <v>0</v>
      </c>
      <c r="W1256" t="b">
        <v>0</v>
      </c>
    </row>
    <row r="1257" spans="1:23" x14ac:dyDescent="0.3">
      <c r="A1257">
        <v>2982017</v>
      </c>
      <c r="B1257">
        <v>55.17</v>
      </c>
      <c r="C1257" t="s">
        <v>2755</v>
      </c>
      <c r="D1257" t="s">
        <v>2756</v>
      </c>
      <c r="E1257" t="s">
        <v>23</v>
      </c>
      <c r="F1257" t="s">
        <v>44</v>
      </c>
      <c r="G1257">
        <v>2013</v>
      </c>
      <c r="H1257" t="s">
        <v>74</v>
      </c>
      <c r="K1257" t="s">
        <v>25</v>
      </c>
      <c r="L1257" t="s">
        <v>30</v>
      </c>
      <c r="M1257" t="b">
        <v>1</v>
      </c>
      <c r="N1257" t="s">
        <v>2757</v>
      </c>
      <c r="Q1257" t="b">
        <v>1</v>
      </c>
      <c r="S1257" t="str">
        <f>"9780310339007"</f>
        <v>9780310339007</v>
      </c>
      <c r="T1257" t="str">
        <f>"9780310339021"</f>
        <v>9780310339021</v>
      </c>
      <c r="U1257" t="b">
        <v>0</v>
      </c>
      <c r="W1257" t="b">
        <v>0</v>
      </c>
    </row>
    <row r="1258" spans="1:23" x14ac:dyDescent="0.3">
      <c r="A1258">
        <v>2982016</v>
      </c>
      <c r="B1258">
        <v>44.82</v>
      </c>
      <c r="C1258" t="s">
        <v>2758</v>
      </c>
      <c r="E1258" t="s">
        <v>23</v>
      </c>
      <c r="F1258" t="s">
        <v>44</v>
      </c>
      <c r="G1258">
        <v>2015</v>
      </c>
      <c r="H1258" t="s">
        <v>58</v>
      </c>
      <c r="K1258" t="s">
        <v>25</v>
      </c>
      <c r="L1258" t="s">
        <v>30</v>
      </c>
      <c r="M1258" t="b">
        <v>1</v>
      </c>
      <c r="N1258" t="s">
        <v>2759</v>
      </c>
      <c r="Q1258" t="b">
        <v>0</v>
      </c>
      <c r="S1258" t="str">
        <f>"9780310320418"</f>
        <v>9780310320418</v>
      </c>
      <c r="T1258" t="str">
        <f>"9780310324768"</f>
        <v>9780310324768</v>
      </c>
      <c r="U1258" t="b">
        <v>0</v>
      </c>
      <c r="W1258" t="b">
        <v>0</v>
      </c>
    </row>
    <row r="1259" spans="1:23" x14ac:dyDescent="0.3">
      <c r="A1259">
        <v>2982015</v>
      </c>
      <c r="B1259">
        <v>51.72</v>
      </c>
      <c r="C1259" t="s">
        <v>2760</v>
      </c>
      <c r="E1259" t="s">
        <v>23</v>
      </c>
      <c r="F1259" t="s">
        <v>44</v>
      </c>
      <c r="G1259">
        <v>2019</v>
      </c>
      <c r="H1259" t="s">
        <v>132</v>
      </c>
      <c r="K1259" t="s">
        <v>25</v>
      </c>
      <c r="L1259" t="s">
        <v>26</v>
      </c>
      <c r="M1259" t="b">
        <v>1</v>
      </c>
      <c r="N1259" t="s">
        <v>44</v>
      </c>
      <c r="P1259" t="s">
        <v>2761</v>
      </c>
      <c r="Q1259" t="b">
        <v>0</v>
      </c>
      <c r="S1259" t="str">
        <f>"9780310452140"</f>
        <v>9780310452140</v>
      </c>
      <c r="T1259" t="str">
        <f>"9780310452171"</f>
        <v>9780310452171</v>
      </c>
      <c r="U1259" t="b">
        <v>0</v>
      </c>
      <c r="W1259" t="b">
        <v>0</v>
      </c>
    </row>
    <row r="1260" spans="1:23" x14ac:dyDescent="0.3">
      <c r="A1260">
        <v>2982014</v>
      </c>
      <c r="B1260">
        <v>27.57</v>
      </c>
      <c r="C1260" t="s">
        <v>2762</v>
      </c>
      <c r="E1260" t="s">
        <v>23</v>
      </c>
      <c r="F1260" t="s">
        <v>44</v>
      </c>
      <c r="G1260">
        <v>2010</v>
      </c>
      <c r="H1260" t="s">
        <v>717</v>
      </c>
      <c r="K1260" t="s">
        <v>25</v>
      </c>
      <c r="L1260" t="s">
        <v>30</v>
      </c>
      <c r="M1260" t="b">
        <v>1</v>
      </c>
      <c r="N1260" t="s">
        <v>116</v>
      </c>
      <c r="P1260" t="s">
        <v>1780</v>
      </c>
      <c r="Q1260" t="b">
        <v>1</v>
      </c>
      <c r="S1260" t="str">
        <f>"9780310721925"</f>
        <v>9780310721925</v>
      </c>
      <c r="T1260" t="str">
        <f>"9780310410164"</f>
        <v>9780310410164</v>
      </c>
      <c r="U1260" t="b">
        <v>0</v>
      </c>
      <c r="W1260" t="b">
        <v>0</v>
      </c>
    </row>
    <row r="1261" spans="1:23" x14ac:dyDescent="0.3">
      <c r="A1261">
        <v>2982013</v>
      </c>
      <c r="B1261">
        <v>68.97</v>
      </c>
      <c r="C1261" t="s">
        <v>2763</v>
      </c>
      <c r="D1261" t="s">
        <v>1307</v>
      </c>
      <c r="E1261" t="s">
        <v>23</v>
      </c>
      <c r="F1261" t="s">
        <v>44</v>
      </c>
      <c r="G1261">
        <v>2016</v>
      </c>
      <c r="H1261" t="s">
        <v>99</v>
      </c>
      <c r="I1261" t="s">
        <v>2764</v>
      </c>
      <c r="J1261" t="s">
        <v>895</v>
      </c>
      <c r="K1261" t="s">
        <v>25</v>
      </c>
      <c r="L1261" t="s">
        <v>26</v>
      </c>
      <c r="M1261" t="b">
        <v>1</v>
      </c>
      <c r="N1261" t="s">
        <v>915</v>
      </c>
      <c r="O1261" t="str">
        <f>"232.908"</f>
        <v>232.908</v>
      </c>
      <c r="P1261" t="s">
        <v>978</v>
      </c>
      <c r="Q1261" t="b">
        <v>0</v>
      </c>
      <c r="S1261" t="str">
        <f>"9780310345862"</f>
        <v>9780310345862</v>
      </c>
      <c r="T1261" t="str">
        <f>"9780310346166"</f>
        <v>9780310346166</v>
      </c>
      <c r="U1261" t="b">
        <v>0</v>
      </c>
      <c r="W1261" t="b">
        <v>0</v>
      </c>
    </row>
    <row r="1262" spans="1:23" x14ac:dyDescent="0.3">
      <c r="A1262">
        <v>2982012</v>
      </c>
      <c r="B1262">
        <v>35.5</v>
      </c>
      <c r="C1262" t="s">
        <v>2765</v>
      </c>
      <c r="E1262" t="s">
        <v>23</v>
      </c>
      <c r="F1262" t="s">
        <v>44</v>
      </c>
      <c r="G1262">
        <v>2018</v>
      </c>
      <c r="H1262" t="s">
        <v>132</v>
      </c>
      <c r="K1262" t="s">
        <v>25</v>
      </c>
      <c r="L1262" t="s">
        <v>26</v>
      </c>
      <c r="M1262" t="b">
        <v>1</v>
      </c>
      <c r="N1262" t="s">
        <v>44</v>
      </c>
      <c r="P1262" t="s">
        <v>2761</v>
      </c>
      <c r="Q1262" t="b">
        <v>0</v>
      </c>
      <c r="T1262" t="str">
        <f>"9780310092841"</f>
        <v>9780310092841</v>
      </c>
      <c r="U1262" t="b">
        <v>0</v>
      </c>
      <c r="W1262" t="b">
        <v>0</v>
      </c>
    </row>
    <row r="1263" spans="1:23" x14ac:dyDescent="0.3">
      <c r="A1263">
        <v>2982011</v>
      </c>
      <c r="B1263">
        <v>127.89</v>
      </c>
      <c r="C1263" t="s">
        <v>2766</v>
      </c>
      <c r="D1263" t="s">
        <v>2265</v>
      </c>
      <c r="E1263" t="s">
        <v>23</v>
      </c>
      <c r="F1263" t="s">
        <v>44</v>
      </c>
      <c r="G1263">
        <v>2016</v>
      </c>
      <c r="H1263" t="s">
        <v>2767</v>
      </c>
      <c r="K1263" t="s">
        <v>25</v>
      </c>
      <c r="L1263" t="s">
        <v>26</v>
      </c>
      <c r="M1263" t="b">
        <v>1</v>
      </c>
      <c r="N1263" t="s">
        <v>44</v>
      </c>
      <c r="P1263" t="s">
        <v>2241</v>
      </c>
      <c r="Q1263" t="b">
        <v>0</v>
      </c>
      <c r="T1263" t="str">
        <f>"9780310003748"</f>
        <v>9780310003748</v>
      </c>
      <c r="U1263" t="b">
        <v>0</v>
      </c>
      <c r="W1263" t="b">
        <v>0</v>
      </c>
    </row>
    <row r="1264" spans="1:23" x14ac:dyDescent="0.3">
      <c r="A1264">
        <v>2982010</v>
      </c>
      <c r="B1264">
        <v>55.17</v>
      </c>
      <c r="C1264" t="s">
        <v>2768</v>
      </c>
      <c r="D1264" t="s">
        <v>2723</v>
      </c>
      <c r="E1264" t="s">
        <v>23</v>
      </c>
      <c r="F1264" t="s">
        <v>44</v>
      </c>
      <c r="G1264">
        <v>2018</v>
      </c>
      <c r="H1264" t="s">
        <v>772</v>
      </c>
      <c r="K1264" t="s">
        <v>25</v>
      </c>
      <c r="L1264" t="s">
        <v>26</v>
      </c>
      <c r="M1264" t="b">
        <v>1</v>
      </c>
      <c r="N1264" t="s">
        <v>2769</v>
      </c>
      <c r="Q1264" t="b">
        <v>1</v>
      </c>
      <c r="S1264" t="str">
        <f>"9780785218487"</f>
        <v>9780785218487</v>
      </c>
      <c r="T1264" t="str">
        <f>"9780785218173"</f>
        <v>9780785218173</v>
      </c>
      <c r="U1264" t="b">
        <v>0</v>
      </c>
      <c r="W1264" t="b">
        <v>0</v>
      </c>
    </row>
    <row r="1265" spans="1:23" x14ac:dyDescent="0.3">
      <c r="A1265">
        <v>2982009</v>
      </c>
      <c r="B1265">
        <v>51.72</v>
      </c>
      <c r="C1265" t="s">
        <v>2770</v>
      </c>
      <c r="D1265" t="s">
        <v>2771</v>
      </c>
      <c r="E1265" t="s">
        <v>23</v>
      </c>
      <c r="F1265" t="s">
        <v>44</v>
      </c>
      <c r="G1265">
        <v>2018</v>
      </c>
      <c r="H1265" t="s">
        <v>56</v>
      </c>
      <c r="K1265" t="s">
        <v>25</v>
      </c>
      <c r="L1265" t="s">
        <v>26</v>
      </c>
      <c r="M1265" t="b">
        <v>1</v>
      </c>
      <c r="N1265" t="s">
        <v>2509</v>
      </c>
      <c r="Q1265" t="b">
        <v>0</v>
      </c>
      <c r="S1265" t="str">
        <f>"9780310352778"</f>
        <v>9780310352778</v>
      </c>
      <c r="T1265" t="str">
        <f>"9780310352907"</f>
        <v>9780310352907</v>
      </c>
      <c r="U1265" t="b">
        <v>0</v>
      </c>
      <c r="W1265" t="b">
        <v>0</v>
      </c>
    </row>
    <row r="1266" spans="1:23" x14ac:dyDescent="0.3">
      <c r="A1266">
        <v>2982008</v>
      </c>
      <c r="B1266">
        <v>65.52</v>
      </c>
      <c r="C1266" t="s">
        <v>2772</v>
      </c>
      <c r="D1266" t="s">
        <v>2773</v>
      </c>
      <c r="E1266" t="s">
        <v>23</v>
      </c>
      <c r="F1266" t="s">
        <v>44</v>
      </c>
      <c r="G1266">
        <v>2009</v>
      </c>
      <c r="H1266" t="s">
        <v>1204</v>
      </c>
      <c r="K1266" t="s">
        <v>25</v>
      </c>
      <c r="L1266" t="s">
        <v>30</v>
      </c>
      <c r="M1266" t="b">
        <v>1</v>
      </c>
      <c r="N1266" t="s">
        <v>2774</v>
      </c>
      <c r="Q1266" t="b">
        <v>0</v>
      </c>
      <c r="S1266" t="str">
        <f>"9780310318859"</f>
        <v>9780310318859</v>
      </c>
      <c r="T1266" t="str">
        <f>"9780310868118"</f>
        <v>9780310868118</v>
      </c>
      <c r="U1266" t="b">
        <v>0</v>
      </c>
      <c r="W1266" t="b">
        <v>0</v>
      </c>
    </row>
    <row r="1267" spans="1:23" x14ac:dyDescent="0.3">
      <c r="A1267">
        <v>2982007</v>
      </c>
      <c r="B1267">
        <v>35.5</v>
      </c>
      <c r="C1267" t="s">
        <v>2775</v>
      </c>
      <c r="E1267" t="s">
        <v>23</v>
      </c>
      <c r="F1267" t="s">
        <v>44</v>
      </c>
      <c r="G1267">
        <v>2010</v>
      </c>
      <c r="H1267" t="s">
        <v>62</v>
      </c>
      <c r="K1267" t="s">
        <v>25</v>
      </c>
      <c r="L1267" t="s">
        <v>30</v>
      </c>
      <c r="M1267" t="b">
        <v>1</v>
      </c>
      <c r="N1267" t="s">
        <v>2641</v>
      </c>
      <c r="Q1267" t="b">
        <v>0</v>
      </c>
      <c r="T1267" t="str">
        <f>"9780310862734"</f>
        <v>9780310862734</v>
      </c>
      <c r="U1267" t="b">
        <v>0</v>
      </c>
      <c r="W1267" t="b">
        <v>0</v>
      </c>
    </row>
    <row r="1268" spans="1:23" x14ac:dyDescent="0.3">
      <c r="A1268">
        <v>2982006</v>
      </c>
      <c r="B1268">
        <v>68.97</v>
      </c>
      <c r="C1268" t="s">
        <v>2776</v>
      </c>
      <c r="D1268" t="s">
        <v>2777</v>
      </c>
      <c r="E1268" t="s">
        <v>23</v>
      </c>
      <c r="F1268" t="s">
        <v>44</v>
      </c>
      <c r="G1268">
        <v>2009</v>
      </c>
      <c r="H1268" t="s">
        <v>132</v>
      </c>
      <c r="K1268" t="s">
        <v>25</v>
      </c>
      <c r="L1268" t="s">
        <v>30</v>
      </c>
      <c r="M1268" t="b">
        <v>1</v>
      </c>
      <c r="N1268" t="s">
        <v>2778</v>
      </c>
      <c r="Q1268" t="b">
        <v>0</v>
      </c>
      <c r="S1268" t="str">
        <f>"9780310262985"</f>
        <v>9780310262985</v>
      </c>
      <c r="T1268" t="str">
        <f>"9780310297864"</f>
        <v>9780310297864</v>
      </c>
      <c r="U1268" t="b">
        <v>0</v>
      </c>
      <c r="W1268" t="b">
        <v>0</v>
      </c>
    </row>
    <row r="1269" spans="1:23" x14ac:dyDescent="0.3">
      <c r="A1269">
        <v>2982005</v>
      </c>
      <c r="B1269">
        <v>63.93</v>
      </c>
      <c r="C1269" t="s">
        <v>905</v>
      </c>
      <c r="D1269" t="s">
        <v>2779</v>
      </c>
      <c r="E1269" t="s">
        <v>23</v>
      </c>
      <c r="F1269" t="s">
        <v>44</v>
      </c>
      <c r="G1269">
        <v>2017</v>
      </c>
      <c r="H1269" t="s">
        <v>58</v>
      </c>
      <c r="I1269" t="s">
        <v>2656</v>
      </c>
      <c r="J1269" t="s">
        <v>895</v>
      </c>
      <c r="K1269" t="s">
        <v>25</v>
      </c>
      <c r="L1269" t="s">
        <v>26</v>
      </c>
      <c r="M1269" t="b">
        <v>1</v>
      </c>
      <c r="N1269" t="s">
        <v>2721</v>
      </c>
      <c r="O1269" t="str">
        <f>"248.4"</f>
        <v>248.4</v>
      </c>
      <c r="Q1269" t="b">
        <v>0</v>
      </c>
      <c r="T1269" t="str">
        <f>"9780310348573"</f>
        <v>9780310348573</v>
      </c>
      <c r="U1269" t="b">
        <v>0</v>
      </c>
      <c r="W1269" t="b">
        <v>0</v>
      </c>
    </row>
    <row r="1270" spans="1:23" x14ac:dyDescent="0.3">
      <c r="A1270">
        <v>2982003</v>
      </c>
      <c r="B1270">
        <v>65.52</v>
      </c>
      <c r="C1270" t="s">
        <v>2780</v>
      </c>
      <c r="D1270" t="s">
        <v>2781</v>
      </c>
      <c r="E1270" t="s">
        <v>23</v>
      </c>
      <c r="F1270" t="s">
        <v>44</v>
      </c>
      <c r="G1270">
        <v>2019</v>
      </c>
      <c r="H1270" t="s">
        <v>58</v>
      </c>
      <c r="K1270" t="s">
        <v>25</v>
      </c>
      <c r="L1270" t="s">
        <v>26</v>
      </c>
      <c r="M1270" t="b">
        <v>1</v>
      </c>
      <c r="N1270" t="s">
        <v>54</v>
      </c>
      <c r="Q1270" t="b">
        <v>0</v>
      </c>
      <c r="S1270" t="str">
        <f>"9780310354864"</f>
        <v>9780310354864</v>
      </c>
      <c r="T1270" t="str">
        <f>"9780310354871"</f>
        <v>9780310354871</v>
      </c>
      <c r="U1270" t="b">
        <v>0</v>
      </c>
      <c r="W1270" t="b">
        <v>0</v>
      </c>
    </row>
    <row r="1271" spans="1:23" x14ac:dyDescent="0.3">
      <c r="A1271">
        <v>2982002</v>
      </c>
      <c r="B1271">
        <v>44.82</v>
      </c>
      <c r="C1271" t="s">
        <v>2782</v>
      </c>
      <c r="D1271" t="s">
        <v>2783</v>
      </c>
      <c r="E1271" t="s">
        <v>23</v>
      </c>
      <c r="F1271" t="s">
        <v>44</v>
      </c>
      <c r="G1271">
        <v>2015</v>
      </c>
      <c r="H1271" t="s">
        <v>728</v>
      </c>
      <c r="K1271" t="s">
        <v>25</v>
      </c>
      <c r="L1271" t="s">
        <v>30</v>
      </c>
      <c r="M1271" t="b">
        <v>1</v>
      </c>
      <c r="N1271" t="s">
        <v>2784</v>
      </c>
      <c r="P1271" t="s">
        <v>2785</v>
      </c>
      <c r="Q1271" t="b">
        <v>1</v>
      </c>
      <c r="S1271" t="str">
        <f>"9780310338710"</f>
        <v>9780310338710</v>
      </c>
      <c r="T1271" t="str">
        <f>"9780310341703"</f>
        <v>9780310341703</v>
      </c>
      <c r="U1271" t="b">
        <v>0</v>
      </c>
      <c r="W1271" t="b">
        <v>0</v>
      </c>
    </row>
    <row r="1272" spans="1:23" x14ac:dyDescent="0.3">
      <c r="A1272">
        <v>2982000</v>
      </c>
      <c r="B1272">
        <v>39.049999999999997</v>
      </c>
      <c r="C1272" t="s">
        <v>2786</v>
      </c>
      <c r="D1272" t="s">
        <v>2787</v>
      </c>
      <c r="E1272" t="s">
        <v>23</v>
      </c>
      <c r="F1272" t="s">
        <v>44</v>
      </c>
      <c r="G1272">
        <v>2015</v>
      </c>
      <c r="H1272" t="s">
        <v>132</v>
      </c>
      <c r="K1272" t="s">
        <v>25</v>
      </c>
      <c r="L1272" t="s">
        <v>26</v>
      </c>
      <c r="M1272" t="b">
        <v>1</v>
      </c>
      <c r="N1272" t="s">
        <v>2788</v>
      </c>
      <c r="Q1272" t="b">
        <v>0</v>
      </c>
      <c r="S1272" t="str">
        <f>"9780310361336"</f>
        <v>9780310361336</v>
      </c>
      <c r="T1272" t="str">
        <f>"9780310359807"</f>
        <v>9780310359807</v>
      </c>
      <c r="U1272" t="b">
        <v>0</v>
      </c>
      <c r="W1272" t="b">
        <v>0</v>
      </c>
    </row>
    <row r="1273" spans="1:23" x14ac:dyDescent="0.3">
      <c r="A1273">
        <v>2981998</v>
      </c>
      <c r="B1273">
        <v>62.07</v>
      </c>
      <c r="C1273" t="s">
        <v>2751</v>
      </c>
      <c r="D1273" t="s">
        <v>2752</v>
      </c>
      <c r="E1273" t="s">
        <v>23</v>
      </c>
      <c r="F1273" t="s">
        <v>44</v>
      </c>
      <c r="G1273">
        <v>2017</v>
      </c>
      <c r="H1273" t="s">
        <v>132</v>
      </c>
      <c r="K1273" t="s">
        <v>25</v>
      </c>
      <c r="L1273" t="s">
        <v>26</v>
      </c>
      <c r="M1273" t="b">
        <v>1</v>
      </c>
      <c r="N1273" t="s">
        <v>2641</v>
      </c>
      <c r="Q1273" t="b">
        <v>0</v>
      </c>
      <c r="S1273" t="str">
        <f>"9780310085867"</f>
        <v>9780310085867</v>
      </c>
      <c r="T1273" t="str">
        <f>"9780310353850"</f>
        <v>9780310353850</v>
      </c>
      <c r="U1273" t="b">
        <v>0</v>
      </c>
      <c r="W1273" t="b">
        <v>0</v>
      </c>
    </row>
    <row r="1274" spans="1:23" x14ac:dyDescent="0.3">
      <c r="A1274">
        <v>2981996</v>
      </c>
      <c r="B1274">
        <v>53.27</v>
      </c>
      <c r="C1274" t="s">
        <v>2789</v>
      </c>
      <c r="E1274" t="s">
        <v>23</v>
      </c>
      <c r="F1274" t="s">
        <v>44</v>
      </c>
      <c r="G1274">
        <v>2008</v>
      </c>
      <c r="H1274" t="s">
        <v>68</v>
      </c>
      <c r="K1274" t="s">
        <v>25</v>
      </c>
      <c r="L1274" t="s">
        <v>30</v>
      </c>
      <c r="M1274" t="b">
        <v>1</v>
      </c>
      <c r="N1274" t="s">
        <v>2790</v>
      </c>
      <c r="Q1274" t="b">
        <v>0</v>
      </c>
      <c r="T1274" t="str">
        <f>"9780310294061"</f>
        <v>9780310294061</v>
      </c>
      <c r="U1274" t="b">
        <v>0</v>
      </c>
      <c r="W1274" t="b">
        <v>0</v>
      </c>
    </row>
    <row r="1275" spans="1:23" x14ac:dyDescent="0.3">
      <c r="A1275">
        <v>2981994</v>
      </c>
      <c r="B1275">
        <v>10.32</v>
      </c>
      <c r="C1275" t="s">
        <v>2791</v>
      </c>
      <c r="E1275" t="s">
        <v>23</v>
      </c>
      <c r="F1275" t="s">
        <v>44</v>
      </c>
      <c r="G1275">
        <v>2016</v>
      </c>
      <c r="H1275" t="s">
        <v>381</v>
      </c>
      <c r="K1275" t="s">
        <v>25</v>
      </c>
      <c r="L1275" t="s">
        <v>26</v>
      </c>
      <c r="M1275" t="b">
        <v>1</v>
      </c>
      <c r="N1275" t="s">
        <v>968</v>
      </c>
      <c r="Q1275" t="b">
        <v>0</v>
      </c>
      <c r="S1275" t="str">
        <f>"9780310349259"</f>
        <v>9780310349259</v>
      </c>
      <c r="T1275" t="str">
        <f>"9780310349433"</f>
        <v>9780310349433</v>
      </c>
      <c r="U1275" t="b">
        <v>0</v>
      </c>
      <c r="W1275" t="b">
        <v>0</v>
      </c>
    </row>
    <row r="1276" spans="1:23" x14ac:dyDescent="0.3">
      <c r="A1276">
        <v>2981993</v>
      </c>
      <c r="B1276">
        <v>58.62</v>
      </c>
      <c r="C1276" t="s">
        <v>2792</v>
      </c>
      <c r="D1276" t="s">
        <v>2793</v>
      </c>
      <c r="E1276" t="s">
        <v>23</v>
      </c>
      <c r="F1276" t="s">
        <v>44</v>
      </c>
      <c r="G1276">
        <v>2013</v>
      </c>
      <c r="H1276" t="s">
        <v>1236</v>
      </c>
      <c r="K1276" t="s">
        <v>25</v>
      </c>
      <c r="L1276" t="s">
        <v>30</v>
      </c>
      <c r="M1276" t="b">
        <v>1</v>
      </c>
      <c r="N1276" t="s">
        <v>63</v>
      </c>
      <c r="P1276" t="s">
        <v>2794</v>
      </c>
      <c r="Q1276" t="b">
        <v>0</v>
      </c>
      <c r="S1276" t="str">
        <f>"9780310344322"</f>
        <v>9780310344322</v>
      </c>
      <c r="T1276" t="str">
        <f>"9780310344339"</f>
        <v>9780310344339</v>
      </c>
      <c r="U1276" t="b">
        <v>0</v>
      </c>
      <c r="W1276" t="b">
        <v>0</v>
      </c>
    </row>
    <row r="1277" spans="1:23" x14ac:dyDescent="0.3">
      <c r="A1277">
        <v>2981992</v>
      </c>
      <c r="B1277">
        <v>56.82</v>
      </c>
      <c r="C1277" t="s">
        <v>2795</v>
      </c>
      <c r="D1277" t="s">
        <v>967</v>
      </c>
      <c r="E1277" t="s">
        <v>23</v>
      </c>
      <c r="F1277" t="s">
        <v>44</v>
      </c>
      <c r="G1277">
        <v>2018</v>
      </c>
      <c r="H1277" t="s">
        <v>132</v>
      </c>
      <c r="K1277" t="s">
        <v>25</v>
      </c>
      <c r="L1277" t="s">
        <v>26</v>
      </c>
      <c r="M1277" t="b">
        <v>1</v>
      </c>
      <c r="N1277" t="s">
        <v>968</v>
      </c>
      <c r="Q1277" t="b">
        <v>0</v>
      </c>
      <c r="S1277" t="str">
        <f>"9780310354468"</f>
        <v>9780310354468</v>
      </c>
      <c r="T1277" t="str">
        <f>"9780310354659"</f>
        <v>9780310354659</v>
      </c>
      <c r="U1277" t="b">
        <v>0</v>
      </c>
      <c r="W1277" t="b">
        <v>0</v>
      </c>
    </row>
    <row r="1278" spans="1:23" x14ac:dyDescent="0.3">
      <c r="A1278">
        <v>2981990</v>
      </c>
      <c r="B1278">
        <v>93.12</v>
      </c>
      <c r="C1278" t="s">
        <v>2796</v>
      </c>
      <c r="D1278" t="s">
        <v>2797</v>
      </c>
      <c r="E1278" t="s">
        <v>23</v>
      </c>
      <c r="F1278" t="s">
        <v>44</v>
      </c>
      <c r="G1278">
        <v>2020</v>
      </c>
      <c r="H1278" t="s">
        <v>912</v>
      </c>
      <c r="I1278" t="s">
        <v>2798</v>
      </c>
      <c r="J1278" t="s">
        <v>2799</v>
      </c>
      <c r="K1278" t="s">
        <v>25</v>
      </c>
      <c r="L1278" t="s">
        <v>26</v>
      </c>
      <c r="M1278" t="b">
        <v>1</v>
      </c>
      <c r="N1278" t="s">
        <v>2800</v>
      </c>
      <c r="O1278" t="str">
        <f>"920.02"</f>
        <v>920.02</v>
      </c>
      <c r="Q1278" t="b">
        <v>0</v>
      </c>
      <c r="S1278" t="str">
        <f>"9780310358893"</f>
        <v>9780310358893</v>
      </c>
      <c r="T1278" t="str">
        <f>"9780310358909"</f>
        <v>9780310358909</v>
      </c>
      <c r="U1278" t="b">
        <v>0</v>
      </c>
      <c r="W1278" t="b">
        <v>0</v>
      </c>
    </row>
    <row r="1279" spans="1:23" x14ac:dyDescent="0.3">
      <c r="A1279">
        <v>2981989</v>
      </c>
      <c r="B1279">
        <v>28.39</v>
      </c>
      <c r="C1279" t="s">
        <v>2801</v>
      </c>
      <c r="D1279" t="s">
        <v>2802</v>
      </c>
      <c r="E1279" t="s">
        <v>23</v>
      </c>
      <c r="F1279" t="s">
        <v>44</v>
      </c>
      <c r="G1279">
        <v>2013</v>
      </c>
      <c r="H1279" t="s">
        <v>141</v>
      </c>
      <c r="K1279" t="s">
        <v>25</v>
      </c>
      <c r="L1279" t="s">
        <v>30</v>
      </c>
      <c r="M1279" t="b">
        <v>1</v>
      </c>
      <c r="N1279" t="s">
        <v>743</v>
      </c>
      <c r="Q1279" t="b">
        <v>0</v>
      </c>
      <c r="T1279" t="str">
        <f>"9780310743118"</f>
        <v>9780310743118</v>
      </c>
      <c r="U1279" t="b">
        <v>0</v>
      </c>
      <c r="W1279" t="b">
        <v>0</v>
      </c>
    </row>
    <row r="1280" spans="1:23" x14ac:dyDescent="0.3">
      <c r="A1280">
        <v>2981987</v>
      </c>
      <c r="B1280">
        <v>53.27</v>
      </c>
      <c r="C1280" t="s">
        <v>2803</v>
      </c>
      <c r="D1280" t="s">
        <v>2231</v>
      </c>
      <c r="E1280" t="s">
        <v>23</v>
      </c>
      <c r="F1280" t="s">
        <v>44</v>
      </c>
      <c r="G1280">
        <v>2015</v>
      </c>
      <c r="H1280" t="s">
        <v>2804</v>
      </c>
      <c r="K1280" t="s">
        <v>25</v>
      </c>
      <c r="L1280" t="s">
        <v>30</v>
      </c>
      <c r="M1280" t="b">
        <v>1</v>
      </c>
      <c r="N1280" t="s">
        <v>44</v>
      </c>
      <c r="Q1280" t="b">
        <v>0</v>
      </c>
      <c r="T1280" t="str">
        <f>"9780310438779"</f>
        <v>9780310438779</v>
      </c>
      <c r="U1280" t="b">
        <v>0</v>
      </c>
      <c r="W1280" t="b">
        <v>0</v>
      </c>
    </row>
    <row r="1281" spans="1:23" x14ac:dyDescent="0.3">
      <c r="A1281">
        <v>2981985</v>
      </c>
      <c r="B1281">
        <v>58.62</v>
      </c>
      <c r="C1281" t="s">
        <v>2805</v>
      </c>
      <c r="D1281" t="s">
        <v>2806</v>
      </c>
      <c r="E1281" t="s">
        <v>23</v>
      </c>
      <c r="F1281" t="s">
        <v>44</v>
      </c>
      <c r="G1281">
        <v>2009</v>
      </c>
      <c r="H1281" t="s">
        <v>132</v>
      </c>
      <c r="K1281" t="s">
        <v>25</v>
      </c>
      <c r="L1281" t="s">
        <v>30</v>
      </c>
      <c r="M1281" t="b">
        <v>1</v>
      </c>
      <c r="N1281" t="s">
        <v>2807</v>
      </c>
      <c r="Q1281" t="b">
        <v>0</v>
      </c>
      <c r="S1281" t="str">
        <f>"9780310267164"</f>
        <v>9780310267164</v>
      </c>
      <c r="T1281" t="str">
        <f>"9780310320555"</f>
        <v>9780310320555</v>
      </c>
      <c r="U1281" t="b">
        <v>0</v>
      </c>
      <c r="W1281" t="b">
        <v>0</v>
      </c>
    </row>
    <row r="1282" spans="1:23" x14ac:dyDescent="0.3">
      <c r="A1282">
        <v>2981983</v>
      </c>
      <c r="B1282">
        <v>55.17</v>
      </c>
      <c r="C1282" t="s">
        <v>2808</v>
      </c>
      <c r="E1282" t="s">
        <v>23</v>
      </c>
      <c r="F1282" t="s">
        <v>44</v>
      </c>
      <c r="G1282">
        <v>2012</v>
      </c>
      <c r="H1282" t="s">
        <v>2535</v>
      </c>
      <c r="K1282" t="s">
        <v>25</v>
      </c>
      <c r="L1282" t="s">
        <v>30</v>
      </c>
      <c r="M1282" t="b">
        <v>1</v>
      </c>
      <c r="N1282" t="s">
        <v>741</v>
      </c>
      <c r="P1282" t="s">
        <v>2809</v>
      </c>
      <c r="Q1282" t="b">
        <v>1</v>
      </c>
      <c r="S1282" t="str">
        <f>"9780310258094"</f>
        <v>9780310258094</v>
      </c>
      <c r="T1282" t="str">
        <f>"9780310411857"</f>
        <v>9780310411857</v>
      </c>
      <c r="U1282" t="b">
        <v>0</v>
      </c>
      <c r="W1282" t="b">
        <v>0</v>
      </c>
    </row>
    <row r="1283" spans="1:23" x14ac:dyDescent="0.3">
      <c r="A1283">
        <v>2981981</v>
      </c>
      <c r="B1283">
        <v>42.61</v>
      </c>
      <c r="C1283" t="s">
        <v>2810</v>
      </c>
      <c r="D1283" t="s">
        <v>2811</v>
      </c>
      <c r="E1283" t="s">
        <v>23</v>
      </c>
      <c r="F1283" t="s">
        <v>44</v>
      </c>
      <c r="G1283">
        <v>2013</v>
      </c>
      <c r="H1283" t="s">
        <v>89</v>
      </c>
      <c r="K1283" t="s">
        <v>25</v>
      </c>
      <c r="L1283" t="s">
        <v>30</v>
      </c>
      <c r="M1283" t="b">
        <v>1</v>
      </c>
      <c r="N1283" t="s">
        <v>2812</v>
      </c>
      <c r="Q1283" t="b">
        <v>0</v>
      </c>
      <c r="T1283" t="str">
        <f>"9780310339229"</f>
        <v>9780310339229</v>
      </c>
      <c r="U1283" t="b">
        <v>0</v>
      </c>
      <c r="W1283" t="b">
        <v>0</v>
      </c>
    </row>
    <row r="1284" spans="1:23" x14ac:dyDescent="0.3">
      <c r="A1284">
        <v>2981979</v>
      </c>
      <c r="B1284">
        <v>51.72</v>
      </c>
      <c r="C1284" t="s">
        <v>2813</v>
      </c>
      <c r="E1284" t="s">
        <v>23</v>
      </c>
      <c r="F1284" t="s">
        <v>44</v>
      </c>
      <c r="G1284">
        <v>2009</v>
      </c>
      <c r="H1284" t="s">
        <v>74</v>
      </c>
      <c r="K1284" t="s">
        <v>25</v>
      </c>
      <c r="L1284" t="s">
        <v>30</v>
      </c>
      <c r="M1284" t="b">
        <v>1</v>
      </c>
      <c r="N1284" t="s">
        <v>741</v>
      </c>
      <c r="Q1284" t="b">
        <v>1</v>
      </c>
      <c r="S1284" t="str">
        <f>"9780310258049"</f>
        <v>9780310258049</v>
      </c>
      <c r="T1284" t="str">
        <f>"9780310541547"</f>
        <v>9780310541547</v>
      </c>
      <c r="U1284" t="b">
        <v>0</v>
      </c>
      <c r="W1284" t="b">
        <v>0</v>
      </c>
    </row>
    <row r="1285" spans="1:23" x14ac:dyDescent="0.3">
      <c r="A1285">
        <v>2981978</v>
      </c>
      <c r="B1285">
        <v>44.82</v>
      </c>
      <c r="C1285" t="s">
        <v>2814</v>
      </c>
      <c r="D1285" t="s">
        <v>2815</v>
      </c>
      <c r="E1285" t="s">
        <v>23</v>
      </c>
      <c r="F1285" t="s">
        <v>44</v>
      </c>
      <c r="G1285">
        <v>2009</v>
      </c>
      <c r="H1285" t="s">
        <v>132</v>
      </c>
      <c r="K1285" t="s">
        <v>25</v>
      </c>
      <c r="L1285" t="s">
        <v>30</v>
      </c>
      <c r="M1285" t="b">
        <v>1</v>
      </c>
      <c r="N1285" t="s">
        <v>2816</v>
      </c>
      <c r="Q1285" t="b">
        <v>0</v>
      </c>
      <c r="S1285" t="str">
        <f>"9780310285113"</f>
        <v>9780310285113</v>
      </c>
      <c r="T1285" t="str">
        <f>"9780310564447"</f>
        <v>9780310564447</v>
      </c>
      <c r="U1285" t="b">
        <v>0</v>
      </c>
      <c r="W1285" t="b">
        <v>0</v>
      </c>
    </row>
    <row r="1286" spans="1:23" x14ac:dyDescent="0.3">
      <c r="A1286">
        <v>2981976</v>
      </c>
      <c r="B1286">
        <v>68.97</v>
      </c>
      <c r="C1286" t="s">
        <v>2817</v>
      </c>
      <c r="D1286" t="s">
        <v>2818</v>
      </c>
      <c r="E1286" t="s">
        <v>23</v>
      </c>
      <c r="F1286" t="s">
        <v>44</v>
      </c>
      <c r="G1286">
        <v>2012</v>
      </c>
      <c r="H1286" t="s">
        <v>1044</v>
      </c>
      <c r="K1286" t="s">
        <v>25</v>
      </c>
      <c r="L1286" t="s">
        <v>30</v>
      </c>
      <c r="M1286" t="b">
        <v>1</v>
      </c>
      <c r="N1286" t="s">
        <v>44</v>
      </c>
      <c r="P1286" t="s">
        <v>2226</v>
      </c>
      <c r="Q1286" t="b">
        <v>0</v>
      </c>
      <c r="S1286" t="str">
        <f>"9780310440765"</f>
        <v>9780310440765</v>
      </c>
      <c r="T1286" t="str">
        <f>"9780310440772"</f>
        <v>9780310440772</v>
      </c>
      <c r="U1286" t="b">
        <v>0</v>
      </c>
      <c r="W1286" t="b">
        <v>0</v>
      </c>
    </row>
    <row r="1287" spans="1:23" x14ac:dyDescent="0.3">
      <c r="A1287">
        <v>2981975</v>
      </c>
      <c r="B1287">
        <v>28.39</v>
      </c>
      <c r="C1287" t="s">
        <v>2819</v>
      </c>
      <c r="E1287" t="s">
        <v>23</v>
      </c>
      <c r="F1287" t="s">
        <v>44</v>
      </c>
      <c r="G1287">
        <v>2018</v>
      </c>
      <c r="H1287" t="s">
        <v>132</v>
      </c>
      <c r="K1287" t="s">
        <v>25</v>
      </c>
      <c r="L1287" t="s">
        <v>26</v>
      </c>
      <c r="M1287" t="b">
        <v>1</v>
      </c>
      <c r="N1287" t="s">
        <v>44</v>
      </c>
      <c r="P1287" t="s">
        <v>2761</v>
      </c>
      <c r="Q1287" t="b">
        <v>0</v>
      </c>
      <c r="S1287" t="str">
        <f>"9780310091073"</f>
        <v>9780310091073</v>
      </c>
      <c r="T1287" t="str">
        <f>"9780310091080"</f>
        <v>9780310091080</v>
      </c>
      <c r="U1287" t="b">
        <v>0</v>
      </c>
      <c r="W1287" t="b">
        <v>0</v>
      </c>
    </row>
    <row r="1288" spans="1:23" x14ac:dyDescent="0.3">
      <c r="A1288">
        <v>2981973</v>
      </c>
      <c r="B1288">
        <v>51.72</v>
      </c>
      <c r="C1288" t="s">
        <v>2820</v>
      </c>
      <c r="E1288" t="s">
        <v>23</v>
      </c>
      <c r="F1288" t="s">
        <v>44</v>
      </c>
      <c r="G1288">
        <v>2001</v>
      </c>
      <c r="H1288" t="s">
        <v>381</v>
      </c>
      <c r="I1288" t="s">
        <v>2821</v>
      </c>
      <c r="J1288" t="s">
        <v>2822</v>
      </c>
      <c r="K1288" t="s">
        <v>25</v>
      </c>
      <c r="L1288" t="s">
        <v>30</v>
      </c>
      <c r="M1288" t="b">
        <v>1</v>
      </c>
      <c r="N1288" t="s">
        <v>2686</v>
      </c>
      <c r="O1288" t="str">
        <f>"264/.23"</f>
        <v>264/.23</v>
      </c>
      <c r="Q1288" t="b">
        <v>0</v>
      </c>
      <c r="S1288" t="str">
        <f>"9780310115908"</f>
        <v>9780310115908</v>
      </c>
      <c r="T1288" t="str">
        <f>"9780310873877"</f>
        <v>9780310873877</v>
      </c>
      <c r="U1288" t="b">
        <v>0</v>
      </c>
      <c r="W1288" t="b">
        <v>0</v>
      </c>
    </row>
    <row r="1289" spans="1:23" x14ac:dyDescent="0.3">
      <c r="A1289">
        <v>2981971</v>
      </c>
      <c r="B1289">
        <v>58.62</v>
      </c>
      <c r="C1289" t="s">
        <v>2823</v>
      </c>
      <c r="D1289" t="s">
        <v>2824</v>
      </c>
      <c r="E1289" t="s">
        <v>23</v>
      </c>
      <c r="F1289" t="s">
        <v>44</v>
      </c>
      <c r="G1289">
        <v>2009</v>
      </c>
      <c r="H1289" t="s">
        <v>58</v>
      </c>
      <c r="K1289" t="s">
        <v>25</v>
      </c>
      <c r="L1289" t="s">
        <v>30</v>
      </c>
      <c r="M1289" t="b">
        <v>1</v>
      </c>
      <c r="N1289" t="s">
        <v>2825</v>
      </c>
      <c r="Q1289" t="b">
        <v>0</v>
      </c>
      <c r="S1289" t="str">
        <f>"9780310283928"</f>
        <v>9780310283928</v>
      </c>
      <c r="T1289" t="str">
        <f>"9780310564928"</f>
        <v>9780310564928</v>
      </c>
      <c r="U1289" t="b">
        <v>0</v>
      </c>
      <c r="W1289" t="b">
        <v>0</v>
      </c>
    </row>
    <row r="1290" spans="1:23" x14ac:dyDescent="0.3">
      <c r="A1290">
        <v>2981970</v>
      </c>
      <c r="B1290">
        <v>55.17</v>
      </c>
      <c r="C1290" t="s">
        <v>2826</v>
      </c>
      <c r="D1290" t="s">
        <v>2723</v>
      </c>
      <c r="E1290" t="s">
        <v>23</v>
      </c>
      <c r="F1290" t="s">
        <v>44</v>
      </c>
      <c r="G1290">
        <v>2019</v>
      </c>
      <c r="H1290" t="s">
        <v>772</v>
      </c>
      <c r="K1290" t="s">
        <v>25</v>
      </c>
      <c r="L1290" t="s">
        <v>26</v>
      </c>
      <c r="M1290" t="b">
        <v>1</v>
      </c>
      <c r="N1290" t="s">
        <v>2827</v>
      </c>
      <c r="Q1290" t="b">
        <v>1</v>
      </c>
      <c r="S1290" t="str">
        <f>"9780310352716"</f>
        <v>9780310352716</v>
      </c>
      <c r="T1290" t="str">
        <f>"9780310352723"</f>
        <v>9780310352723</v>
      </c>
      <c r="U1290" t="b">
        <v>0</v>
      </c>
      <c r="W1290" t="b">
        <v>0</v>
      </c>
    </row>
    <row r="1291" spans="1:23" x14ac:dyDescent="0.3">
      <c r="A1291">
        <v>2981967</v>
      </c>
      <c r="B1291">
        <v>44.82</v>
      </c>
      <c r="C1291" t="s">
        <v>2828</v>
      </c>
      <c r="D1291" t="s">
        <v>2783</v>
      </c>
      <c r="E1291" t="s">
        <v>23</v>
      </c>
      <c r="F1291" t="s">
        <v>44</v>
      </c>
      <c r="G1291">
        <v>2015</v>
      </c>
      <c r="H1291" t="s">
        <v>1212</v>
      </c>
      <c r="K1291" t="s">
        <v>25</v>
      </c>
      <c r="L1291" t="s">
        <v>26</v>
      </c>
      <c r="M1291" t="b">
        <v>1</v>
      </c>
      <c r="N1291" t="s">
        <v>2829</v>
      </c>
      <c r="P1291" t="s">
        <v>2785</v>
      </c>
      <c r="Q1291" t="b">
        <v>1</v>
      </c>
      <c r="S1291" t="str">
        <f>"9780310339151"</f>
        <v>9780310339151</v>
      </c>
      <c r="T1291" t="str">
        <f>"9780310341390"</f>
        <v>9780310341390</v>
      </c>
      <c r="U1291" t="b">
        <v>0</v>
      </c>
      <c r="W1291" t="b">
        <v>0</v>
      </c>
    </row>
    <row r="1292" spans="1:23" x14ac:dyDescent="0.3">
      <c r="A1292">
        <v>2981966</v>
      </c>
      <c r="B1292">
        <v>28.39</v>
      </c>
      <c r="C1292" t="s">
        <v>2830</v>
      </c>
      <c r="D1292" t="s">
        <v>1405</v>
      </c>
      <c r="E1292" t="s">
        <v>23</v>
      </c>
      <c r="F1292" t="s">
        <v>44</v>
      </c>
      <c r="G1292">
        <v>2009</v>
      </c>
      <c r="H1292" t="s">
        <v>2831</v>
      </c>
      <c r="K1292" t="s">
        <v>25</v>
      </c>
      <c r="L1292" t="s">
        <v>30</v>
      </c>
      <c r="M1292" t="b">
        <v>1</v>
      </c>
      <c r="N1292" t="s">
        <v>2832</v>
      </c>
      <c r="Q1292" t="b">
        <v>1</v>
      </c>
      <c r="T1292" t="str">
        <f>"9780310564201"</f>
        <v>9780310564201</v>
      </c>
      <c r="U1292" t="b">
        <v>0</v>
      </c>
      <c r="W1292" t="b">
        <v>0</v>
      </c>
    </row>
    <row r="1293" spans="1:23" x14ac:dyDescent="0.3">
      <c r="A1293">
        <v>2981964</v>
      </c>
      <c r="B1293">
        <v>14.18</v>
      </c>
      <c r="C1293" t="s">
        <v>2833</v>
      </c>
      <c r="D1293" t="s">
        <v>2834</v>
      </c>
      <c r="E1293" t="s">
        <v>23</v>
      </c>
      <c r="F1293" t="s">
        <v>44</v>
      </c>
      <c r="G1293">
        <v>2009</v>
      </c>
      <c r="H1293" t="s">
        <v>62</v>
      </c>
      <c r="K1293" t="s">
        <v>25</v>
      </c>
      <c r="L1293" t="s">
        <v>30</v>
      </c>
      <c r="M1293" t="b">
        <v>1</v>
      </c>
      <c r="N1293" t="s">
        <v>1417</v>
      </c>
      <c r="Q1293" t="b">
        <v>0</v>
      </c>
      <c r="T1293" t="str">
        <f>"9780310870234"</f>
        <v>9780310870234</v>
      </c>
      <c r="U1293" t="b">
        <v>0</v>
      </c>
      <c r="W1293" t="b">
        <v>0</v>
      </c>
    </row>
    <row r="1294" spans="1:23" x14ac:dyDescent="0.3">
      <c r="A1294">
        <v>2981962</v>
      </c>
      <c r="B1294">
        <v>55.17</v>
      </c>
      <c r="C1294" t="s">
        <v>2835</v>
      </c>
      <c r="D1294" t="s">
        <v>1405</v>
      </c>
      <c r="E1294" t="s">
        <v>23</v>
      </c>
      <c r="F1294" t="s">
        <v>44</v>
      </c>
      <c r="G1294">
        <v>2013</v>
      </c>
      <c r="H1294" t="s">
        <v>728</v>
      </c>
      <c r="K1294" t="s">
        <v>25</v>
      </c>
      <c r="L1294" t="s">
        <v>30</v>
      </c>
      <c r="M1294" t="b">
        <v>1</v>
      </c>
      <c r="N1294" t="s">
        <v>2836</v>
      </c>
      <c r="P1294" t="s">
        <v>2837</v>
      </c>
      <c r="Q1294" t="b">
        <v>1</v>
      </c>
      <c r="S1294" t="str">
        <f>"9780310334880"</f>
        <v>9780310334880</v>
      </c>
      <c r="T1294" t="str">
        <f>"9780310334897"</f>
        <v>9780310334897</v>
      </c>
      <c r="U1294" t="b">
        <v>0</v>
      </c>
      <c r="W1294" t="b">
        <v>0</v>
      </c>
    </row>
    <row r="1295" spans="1:23" x14ac:dyDescent="0.3">
      <c r="A1295">
        <v>2981961</v>
      </c>
      <c r="B1295">
        <v>68.97</v>
      </c>
      <c r="C1295" t="s">
        <v>2838</v>
      </c>
      <c r="D1295" t="s">
        <v>2839</v>
      </c>
      <c r="E1295" t="s">
        <v>23</v>
      </c>
      <c r="F1295" t="s">
        <v>44</v>
      </c>
      <c r="G1295">
        <v>2020</v>
      </c>
      <c r="H1295" t="s">
        <v>2702</v>
      </c>
      <c r="K1295" t="s">
        <v>25</v>
      </c>
      <c r="L1295" t="s">
        <v>26</v>
      </c>
      <c r="M1295" t="b">
        <v>1</v>
      </c>
      <c r="N1295" t="s">
        <v>2840</v>
      </c>
      <c r="Q1295" t="b">
        <v>0</v>
      </c>
      <c r="S1295" t="str">
        <f>"9780310111498"</f>
        <v>9780310111498</v>
      </c>
      <c r="T1295" t="str">
        <f>"9780310111511"</f>
        <v>9780310111511</v>
      </c>
      <c r="U1295" t="b">
        <v>0</v>
      </c>
      <c r="W1295" t="b">
        <v>0</v>
      </c>
    </row>
    <row r="1296" spans="1:23" x14ac:dyDescent="0.3">
      <c r="A1296">
        <v>2981959</v>
      </c>
      <c r="B1296">
        <v>68.97</v>
      </c>
      <c r="C1296" t="s">
        <v>2841</v>
      </c>
      <c r="D1296" t="s">
        <v>2842</v>
      </c>
      <c r="E1296" t="s">
        <v>23</v>
      </c>
      <c r="F1296" t="s">
        <v>44</v>
      </c>
      <c r="G1296">
        <v>2014</v>
      </c>
      <c r="H1296" t="s">
        <v>132</v>
      </c>
      <c r="K1296" t="s">
        <v>25</v>
      </c>
      <c r="L1296" t="s">
        <v>30</v>
      </c>
      <c r="M1296" t="b">
        <v>1</v>
      </c>
      <c r="N1296" t="s">
        <v>2843</v>
      </c>
      <c r="P1296" t="s">
        <v>2226</v>
      </c>
      <c r="Q1296" t="b">
        <v>0</v>
      </c>
      <c r="S1296" t="str">
        <f>"9780310431923"</f>
        <v>9780310431923</v>
      </c>
      <c r="T1296" t="str">
        <f>"9780310431930"</f>
        <v>9780310431930</v>
      </c>
      <c r="U1296" t="b">
        <v>0</v>
      </c>
      <c r="W1296" t="b">
        <v>0</v>
      </c>
    </row>
    <row r="1297" spans="1:23" x14ac:dyDescent="0.3">
      <c r="A1297">
        <v>2981957</v>
      </c>
      <c r="B1297">
        <v>37.92</v>
      </c>
      <c r="C1297" t="s">
        <v>2844</v>
      </c>
      <c r="D1297" t="s">
        <v>2845</v>
      </c>
      <c r="E1297" t="s">
        <v>23</v>
      </c>
      <c r="F1297" t="s">
        <v>44</v>
      </c>
      <c r="G1297">
        <v>2019</v>
      </c>
      <c r="H1297" t="s">
        <v>69</v>
      </c>
      <c r="K1297" t="s">
        <v>25</v>
      </c>
      <c r="L1297" t="s">
        <v>26</v>
      </c>
      <c r="M1297" t="b">
        <v>1</v>
      </c>
      <c r="N1297" t="s">
        <v>2846</v>
      </c>
      <c r="Q1297" t="b">
        <v>0</v>
      </c>
      <c r="S1297" t="str">
        <f>"9780310359241"</f>
        <v>9780310359241</v>
      </c>
      <c r="T1297" t="str">
        <f>"9780310354277"</f>
        <v>9780310354277</v>
      </c>
      <c r="U1297" t="b">
        <v>0</v>
      </c>
      <c r="W1297" t="b">
        <v>0</v>
      </c>
    </row>
    <row r="1298" spans="1:23" x14ac:dyDescent="0.3">
      <c r="A1298">
        <v>2981956</v>
      </c>
      <c r="B1298">
        <v>17.22</v>
      </c>
      <c r="C1298" t="s">
        <v>2847</v>
      </c>
      <c r="D1298" t="s">
        <v>138</v>
      </c>
      <c r="E1298" t="s">
        <v>23</v>
      </c>
      <c r="F1298" t="s">
        <v>44</v>
      </c>
      <c r="G1298">
        <v>2010</v>
      </c>
      <c r="H1298" t="s">
        <v>34</v>
      </c>
      <c r="K1298" t="s">
        <v>25</v>
      </c>
      <c r="L1298" t="s">
        <v>30</v>
      </c>
      <c r="M1298" t="b">
        <v>1</v>
      </c>
      <c r="N1298" t="s">
        <v>139</v>
      </c>
      <c r="P1298" t="s">
        <v>140</v>
      </c>
      <c r="Q1298" t="b">
        <v>1</v>
      </c>
      <c r="S1298" t="str">
        <f>"9780310718475"</f>
        <v>9780310718475</v>
      </c>
      <c r="T1298" t="str">
        <f>"9780310424611"</f>
        <v>9780310424611</v>
      </c>
      <c r="U1298" t="b">
        <v>0</v>
      </c>
      <c r="W1298" t="b">
        <v>0</v>
      </c>
    </row>
    <row r="1299" spans="1:23" x14ac:dyDescent="0.3">
      <c r="A1299">
        <v>2981953</v>
      </c>
      <c r="B1299">
        <v>71.03</v>
      </c>
      <c r="C1299" t="s">
        <v>2848</v>
      </c>
      <c r="D1299" t="s">
        <v>967</v>
      </c>
      <c r="E1299" t="s">
        <v>23</v>
      </c>
      <c r="F1299" t="s">
        <v>44</v>
      </c>
      <c r="G1299">
        <v>2020</v>
      </c>
      <c r="H1299" t="s">
        <v>132</v>
      </c>
      <c r="K1299" t="s">
        <v>25</v>
      </c>
      <c r="L1299" t="s">
        <v>26</v>
      </c>
      <c r="M1299" t="b">
        <v>1</v>
      </c>
      <c r="N1299" t="s">
        <v>968</v>
      </c>
      <c r="Q1299" t="b">
        <v>0</v>
      </c>
      <c r="T1299" t="str">
        <f>"9780310354758"</f>
        <v>9780310354758</v>
      </c>
      <c r="U1299" t="b">
        <v>0</v>
      </c>
      <c r="W1299" t="b">
        <v>0</v>
      </c>
    </row>
    <row r="1300" spans="1:23" x14ac:dyDescent="0.3">
      <c r="A1300">
        <v>2981951</v>
      </c>
      <c r="B1300">
        <v>53.27</v>
      </c>
      <c r="C1300" t="s">
        <v>2849</v>
      </c>
      <c r="D1300" t="s">
        <v>2850</v>
      </c>
      <c r="E1300" t="s">
        <v>23</v>
      </c>
      <c r="F1300" t="s">
        <v>44</v>
      </c>
      <c r="G1300">
        <v>2009</v>
      </c>
      <c r="H1300" t="s">
        <v>99</v>
      </c>
      <c r="K1300" t="s">
        <v>25</v>
      </c>
      <c r="L1300" t="s">
        <v>30</v>
      </c>
      <c r="M1300" t="b">
        <v>1</v>
      </c>
      <c r="N1300" t="s">
        <v>2851</v>
      </c>
      <c r="Q1300" t="b">
        <v>0</v>
      </c>
      <c r="T1300" t="str">
        <f>"9780310317609"</f>
        <v>9780310317609</v>
      </c>
      <c r="U1300" t="b">
        <v>0</v>
      </c>
      <c r="W1300" t="b">
        <v>0</v>
      </c>
    </row>
    <row r="1301" spans="1:23" x14ac:dyDescent="0.3">
      <c r="A1301">
        <v>2981950</v>
      </c>
      <c r="B1301">
        <v>42.61</v>
      </c>
      <c r="C1301" t="s">
        <v>2852</v>
      </c>
      <c r="D1301" t="s">
        <v>2853</v>
      </c>
      <c r="E1301" t="s">
        <v>23</v>
      </c>
      <c r="F1301" t="s">
        <v>44</v>
      </c>
      <c r="G1301">
        <v>2008</v>
      </c>
      <c r="H1301" t="s">
        <v>132</v>
      </c>
      <c r="K1301" t="s">
        <v>25</v>
      </c>
      <c r="L1301" t="s">
        <v>30</v>
      </c>
      <c r="M1301" t="b">
        <v>1</v>
      </c>
      <c r="N1301" t="s">
        <v>2854</v>
      </c>
      <c r="Q1301" t="b">
        <v>0</v>
      </c>
      <c r="T1301" t="str">
        <f>"9780310319375"</f>
        <v>9780310319375</v>
      </c>
      <c r="U1301" t="b">
        <v>0</v>
      </c>
      <c r="W1301" t="b">
        <v>0</v>
      </c>
    </row>
    <row r="1302" spans="1:23" x14ac:dyDescent="0.3">
      <c r="A1302">
        <v>2981949</v>
      </c>
      <c r="B1302">
        <v>65.52</v>
      </c>
      <c r="C1302" t="s">
        <v>2855</v>
      </c>
      <c r="D1302" t="s">
        <v>2856</v>
      </c>
      <c r="E1302" t="s">
        <v>23</v>
      </c>
      <c r="F1302" t="s">
        <v>44</v>
      </c>
      <c r="G1302">
        <v>2009</v>
      </c>
      <c r="H1302" t="s">
        <v>58</v>
      </c>
      <c r="K1302" t="s">
        <v>25</v>
      </c>
      <c r="L1302" t="s">
        <v>26</v>
      </c>
      <c r="M1302" t="b">
        <v>1</v>
      </c>
      <c r="N1302" t="s">
        <v>1017</v>
      </c>
      <c r="Q1302" t="b">
        <v>0</v>
      </c>
      <c r="S1302" t="str">
        <f>"9780310360827"</f>
        <v>9780310360827</v>
      </c>
      <c r="T1302" t="str">
        <f>"9780310316947"</f>
        <v>9780310316947</v>
      </c>
      <c r="U1302" t="b">
        <v>0</v>
      </c>
      <c r="W1302" t="b">
        <v>0</v>
      </c>
    </row>
    <row r="1303" spans="1:23" x14ac:dyDescent="0.3">
      <c r="A1303">
        <v>2981947</v>
      </c>
      <c r="B1303">
        <v>65.52</v>
      </c>
      <c r="C1303" t="s">
        <v>2857</v>
      </c>
      <c r="D1303" t="s">
        <v>2858</v>
      </c>
      <c r="E1303" t="s">
        <v>23</v>
      </c>
      <c r="F1303" t="s">
        <v>44</v>
      </c>
      <c r="G1303">
        <v>2019</v>
      </c>
      <c r="H1303" t="s">
        <v>89</v>
      </c>
      <c r="K1303" t="s">
        <v>25</v>
      </c>
      <c r="L1303" t="s">
        <v>26</v>
      </c>
      <c r="M1303" t="b">
        <v>1</v>
      </c>
      <c r="N1303" t="s">
        <v>2090</v>
      </c>
      <c r="Q1303" t="b">
        <v>0</v>
      </c>
      <c r="S1303" t="str">
        <f>"9780310352457"</f>
        <v>9780310352457</v>
      </c>
      <c r="T1303" t="str">
        <f>"9780310352471"</f>
        <v>9780310352471</v>
      </c>
      <c r="U1303" t="b">
        <v>0</v>
      </c>
      <c r="W1303" t="b">
        <v>0</v>
      </c>
    </row>
    <row r="1304" spans="1:23" x14ac:dyDescent="0.3">
      <c r="A1304">
        <v>2981945</v>
      </c>
      <c r="B1304">
        <v>65.52</v>
      </c>
      <c r="C1304" t="s">
        <v>2859</v>
      </c>
      <c r="D1304" t="s">
        <v>2860</v>
      </c>
      <c r="E1304" t="s">
        <v>23</v>
      </c>
      <c r="F1304" t="s">
        <v>44</v>
      </c>
      <c r="G1304">
        <v>2017</v>
      </c>
      <c r="H1304" t="s">
        <v>69</v>
      </c>
      <c r="K1304" t="s">
        <v>25</v>
      </c>
      <c r="L1304" t="s">
        <v>26</v>
      </c>
      <c r="M1304" t="b">
        <v>1</v>
      </c>
      <c r="N1304" t="s">
        <v>2666</v>
      </c>
      <c r="Q1304" t="b">
        <v>0</v>
      </c>
      <c r="S1304" t="str">
        <f>"9780310344827"</f>
        <v>9780310344827</v>
      </c>
      <c r="T1304" t="str">
        <f>"9780310344834"</f>
        <v>9780310344834</v>
      </c>
      <c r="U1304" t="b">
        <v>0</v>
      </c>
      <c r="W1304" t="b">
        <v>0</v>
      </c>
    </row>
    <row r="1305" spans="1:23" x14ac:dyDescent="0.3">
      <c r="A1305">
        <v>2981944</v>
      </c>
      <c r="B1305">
        <v>44.82</v>
      </c>
      <c r="C1305" t="s">
        <v>2861</v>
      </c>
      <c r="E1305" t="s">
        <v>23</v>
      </c>
      <c r="F1305" t="s">
        <v>44</v>
      </c>
      <c r="G1305">
        <v>2018</v>
      </c>
      <c r="H1305" t="s">
        <v>62</v>
      </c>
      <c r="K1305" t="s">
        <v>25</v>
      </c>
      <c r="L1305" t="s">
        <v>26</v>
      </c>
      <c r="M1305" t="b">
        <v>1</v>
      </c>
      <c r="N1305" t="s">
        <v>44</v>
      </c>
      <c r="P1305" t="s">
        <v>2862</v>
      </c>
      <c r="Q1305" t="b">
        <v>0</v>
      </c>
      <c r="S1305" t="str">
        <f>"9780310091257"</f>
        <v>9780310091257</v>
      </c>
      <c r="T1305" t="str">
        <f>"9780310091264"</f>
        <v>9780310091264</v>
      </c>
      <c r="U1305" t="b">
        <v>0</v>
      </c>
      <c r="W1305" t="b">
        <v>0</v>
      </c>
    </row>
    <row r="1306" spans="1:23" x14ac:dyDescent="0.3">
      <c r="A1306">
        <v>2981942</v>
      </c>
      <c r="B1306">
        <v>99.46</v>
      </c>
      <c r="C1306" t="s">
        <v>2863</v>
      </c>
      <c r="D1306" t="s">
        <v>2864</v>
      </c>
      <c r="E1306" t="s">
        <v>23</v>
      </c>
      <c r="F1306" t="s">
        <v>44</v>
      </c>
      <c r="G1306">
        <v>2014</v>
      </c>
      <c r="H1306" t="s">
        <v>66</v>
      </c>
      <c r="K1306" t="s">
        <v>25</v>
      </c>
      <c r="L1306" t="s">
        <v>30</v>
      </c>
      <c r="M1306" t="b">
        <v>1</v>
      </c>
      <c r="N1306" t="s">
        <v>2865</v>
      </c>
      <c r="P1306" t="s">
        <v>2866</v>
      </c>
      <c r="Q1306" t="b">
        <v>1</v>
      </c>
      <c r="T1306" t="str">
        <f>"9780310342694"</f>
        <v>9780310342694</v>
      </c>
      <c r="U1306" t="b">
        <v>0</v>
      </c>
      <c r="W1306" t="b">
        <v>0</v>
      </c>
    </row>
    <row r="1307" spans="1:23" x14ac:dyDescent="0.3">
      <c r="A1307">
        <v>2981941</v>
      </c>
      <c r="B1307">
        <v>55.17</v>
      </c>
      <c r="C1307" t="s">
        <v>2867</v>
      </c>
      <c r="E1307" t="s">
        <v>23</v>
      </c>
      <c r="F1307" t="s">
        <v>44</v>
      </c>
      <c r="G1307">
        <v>2009</v>
      </c>
      <c r="H1307" t="s">
        <v>2868</v>
      </c>
      <c r="I1307" t="s">
        <v>2869</v>
      </c>
      <c r="J1307" t="s">
        <v>2870</v>
      </c>
      <c r="K1307" t="s">
        <v>25</v>
      </c>
      <c r="L1307" t="s">
        <v>30</v>
      </c>
      <c r="M1307" t="b">
        <v>1</v>
      </c>
      <c r="N1307" t="s">
        <v>2871</v>
      </c>
      <c r="O1307" t="str">
        <f>"241/.66"</f>
        <v>241/.66</v>
      </c>
      <c r="Q1307" t="b">
        <v>0</v>
      </c>
      <c r="S1307" t="str">
        <f>"9780310256571"</f>
        <v>9780310256571</v>
      </c>
      <c r="T1307" t="str">
        <f>"9780310559764"</f>
        <v>9780310559764</v>
      </c>
      <c r="U1307" t="b">
        <v>0</v>
      </c>
      <c r="V1307" t="s">
        <v>2872</v>
      </c>
      <c r="W1307" t="b">
        <v>0</v>
      </c>
    </row>
    <row r="1308" spans="1:23" x14ac:dyDescent="0.3">
      <c r="A1308">
        <v>2981939</v>
      </c>
      <c r="B1308">
        <v>44.82</v>
      </c>
      <c r="C1308" t="s">
        <v>2873</v>
      </c>
      <c r="E1308" t="s">
        <v>23</v>
      </c>
      <c r="F1308" t="s">
        <v>44</v>
      </c>
      <c r="G1308">
        <v>2009</v>
      </c>
      <c r="H1308" t="s">
        <v>2535</v>
      </c>
      <c r="K1308" t="s">
        <v>25</v>
      </c>
      <c r="L1308" t="s">
        <v>30</v>
      </c>
      <c r="M1308" t="b">
        <v>1</v>
      </c>
      <c r="N1308" t="s">
        <v>2726</v>
      </c>
      <c r="P1308" t="s">
        <v>2874</v>
      </c>
      <c r="Q1308" t="b">
        <v>1</v>
      </c>
      <c r="S1308" t="str">
        <f>"9780310252320"</f>
        <v>9780310252320</v>
      </c>
      <c r="T1308" t="str">
        <f>"9780310318071"</f>
        <v>9780310318071</v>
      </c>
      <c r="U1308" t="b">
        <v>0</v>
      </c>
      <c r="W1308" t="b">
        <v>0</v>
      </c>
    </row>
    <row r="1309" spans="1:23" x14ac:dyDescent="0.3">
      <c r="A1309">
        <v>2981938</v>
      </c>
      <c r="B1309">
        <v>44.82</v>
      </c>
      <c r="C1309" t="s">
        <v>2875</v>
      </c>
      <c r="E1309" t="s">
        <v>23</v>
      </c>
      <c r="F1309" t="s">
        <v>44</v>
      </c>
      <c r="G1309">
        <v>2009</v>
      </c>
      <c r="H1309" t="s">
        <v>2535</v>
      </c>
      <c r="K1309" t="s">
        <v>25</v>
      </c>
      <c r="L1309" t="s">
        <v>30</v>
      </c>
      <c r="M1309" t="b">
        <v>1</v>
      </c>
      <c r="N1309" t="s">
        <v>2726</v>
      </c>
      <c r="P1309" t="s">
        <v>2874</v>
      </c>
      <c r="Q1309" t="b">
        <v>1</v>
      </c>
      <c r="S1309" t="str">
        <f>"9780310252337"</f>
        <v>9780310252337</v>
      </c>
      <c r="T1309" t="str">
        <f>"9780310317548"</f>
        <v>9780310317548</v>
      </c>
      <c r="U1309" t="b">
        <v>0</v>
      </c>
      <c r="W1309" t="b">
        <v>0</v>
      </c>
    </row>
    <row r="1310" spans="1:23" x14ac:dyDescent="0.3">
      <c r="A1310">
        <v>2981936</v>
      </c>
      <c r="B1310">
        <v>35.5</v>
      </c>
      <c r="C1310" t="s">
        <v>2876</v>
      </c>
      <c r="E1310" t="s">
        <v>23</v>
      </c>
      <c r="F1310" t="s">
        <v>44</v>
      </c>
      <c r="G1310">
        <v>2012</v>
      </c>
      <c r="H1310" t="s">
        <v>75</v>
      </c>
      <c r="K1310" t="s">
        <v>25</v>
      </c>
      <c r="L1310" t="s">
        <v>30</v>
      </c>
      <c r="M1310" t="b">
        <v>1</v>
      </c>
      <c r="N1310" t="s">
        <v>291</v>
      </c>
      <c r="P1310" t="s">
        <v>2877</v>
      </c>
      <c r="Q1310" t="b">
        <v>0</v>
      </c>
      <c r="T1310" t="str">
        <f>"9780310725541"</f>
        <v>9780310725541</v>
      </c>
      <c r="U1310" t="b">
        <v>0</v>
      </c>
      <c r="W1310" t="b">
        <v>0</v>
      </c>
    </row>
    <row r="1311" spans="1:23" x14ac:dyDescent="0.3">
      <c r="A1311">
        <v>2981933</v>
      </c>
      <c r="B1311">
        <v>68.97</v>
      </c>
      <c r="C1311">
        <v>2084</v>
      </c>
      <c r="D1311" t="s">
        <v>2878</v>
      </c>
      <c r="E1311" t="s">
        <v>23</v>
      </c>
      <c r="F1311" t="s">
        <v>44</v>
      </c>
      <c r="G1311">
        <v>2020</v>
      </c>
      <c r="H1311" t="s">
        <v>954</v>
      </c>
      <c r="I1311" t="s">
        <v>2879</v>
      </c>
      <c r="J1311" t="s">
        <v>2880</v>
      </c>
      <c r="K1311" t="s">
        <v>25</v>
      </c>
      <c r="L1311" t="s">
        <v>26</v>
      </c>
      <c r="M1311" t="b">
        <v>1</v>
      </c>
      <c r="N1311" t="s">
        <v>955</v>
      </c>
      <c r="O1311" t="str">
        <f>"201.60063"</f>
        <v>201.60063</v>
      </c>
      <c r="Q1311" t="b">
        <v>0</v>
      </c>
      <c r="S1311" t="str">
        <f>"9780310109563"</f>
        <v>9780310109563</v>
      </c>
      <c r="T1311" t="str">
        <f>"9780310109587"</f>
        <v>9780310109587</v>
      </c>
      <c r="U1311" t="b">
        <v>0</v>
      </c>
      <c r="W1311" t="b">
        <v>0</v>
      </c>
    </row>
    <row r="1312" spans="1:23" x14ac:dyDescent="0.3">
      <c r="A1312">
        <v>2981931</v>
      </c>
      <c r="B1312">
        <v>55.17</v>
      </c>
      <c r="C1312" t="s">
        <v>2881</v>
      </c>
      <c r="D1312" t="s">
        <v>2882</v>
      </c>
      <c r="E1312" t="s">
        <v>23</v>
      </c>
      <c r="F1312" t="s">
        <v>44</v>
      </c>
      <c r="G1312">
        <v>2009</v>
      </c>
      <c r="H1312" t="s">
        <v>759</v>
      </c>
      <c r="K1312" t="s">
        <v>25</v>
      </c>
      <c r="L1312" t="s">
        <v>30</v>
      </c>
      <c r="M1312" t="b">
        <v>1</v>
      </c>
      <c r="N1312" t="s">
        <v>2883</v>
      </c>
      <c r="Q1312" t="b">
        <v>0</v>
      </c>
      <c r="S1312" t="str">
        <f>"9780310267317"</f>
        <v>9780310267317</v>
      </c>
      <c r="T1312" t="str">
        <f>"9780310565918"</f>
        <v>9780310565918</v>
      </c>
      <c r="U1312" t="b">
        <v>0</v>
      </c>
      <c r="W1312" t="b">
        <v>0</v>
      </c>
    </row>
    <row r="1313" spans="1:23" x14ac:dyDescent="0.3">
      <c r="A1313">
        <v>2981929</v>
      </c>
      <c r="B1313">
        <v>51.72</v>
      </c>
      <c r="C1313" t="s">
        <v>2884</v>
      </c>
      <c r="D1313" t="s">
        <v>2885</v>
      </c>
      <c r="E1313" t="s">
        <v>23</v>
      </c>
      <c r="F1313" t="s">
        <v>44</v>
      </c>
      <c r="G1313">
        <v>2017</v>
      </c>
      <c r="H1313" t="s">
        <v>2079</v>
      </c>
      <c r="K1313" t="s">
        <v>25</v>
      </c>
      <c r="L1313" t="s">
        <v>26</v>
      </c>
      <c r="M1313" t="b">
        <v>1</v>
      </c>
      <c r="N1313" t="s">
        <v>129</v>
      </c>
      <c r="P1313" t="s">
        <v>130</v>
      </c>
      <c r="Q1313" t="b">
        <v>0</v>
      </c>
      <c r="S1313" t="str">
        <f>"9780310761808"</f>
        <v>9780310761808</v>
      </c>
      <c r="T1313" t="str">
        <f>"9780310761815"</f>
        <v>9780310761815</v>
      </c>
      <c r="U1313" t="b">
        <v>0</v>
      </c>
      <c r="W1313" t="b">
        <v>0</v>
      </c>
    </row>
    <row r="1314" spans="1:23" x14ac:dyDescent="0.3">
      <c r="A1314">
        <v>2981928</v>
      </c>
      <c r="B1314">
        <v>55.17</v>
      </c>
      <c r="C1314" t="s">
        <v>2886</v>
      </c>
      <c r="E1314" t="s">
        <v>23</v>
      </c>
      <c r="F1314" t="s">
        <v>44</v>
      </c>
      <c r="G1314">
        <v>2011</v>
      </c>
      <c r="H1314" t="s">
        <v>728</v>
      </c>
      <c r="K1314" t="s">
        <v>25</v>
      </c>
      <c r="L1314" t="s">
        <v>30</v>
      </c>
      <c r="M1314" t="b">
        <v>1</v>
      </c>
      <c r="N1314" t="s">
        <v>31</v>
      </c>
      <c r="P1314" t="s">
        <v>2732</v>
      </c>
      <c r="Q1314" t="b">
        <v>1</v>
      </c>
      <c r="S1314" t="str">
        <f>"9780310276333"</f>
        <v>9780310276333</v>
      </c>
      <c r="T1314" t="str">
        <f>"9780310427551"</f>
        <v>9780310427551</v>
      </c>
      <c r="U1314" t="b">
        <v>0</v>
      </c>
      <c r="W1314" t="b">
        <v>0</v>
      </c>
    </row>
    <row r="1315" spans="1:23" x14ac:dyDescent="0.3">
      <c r="A1315">
        <v>2981927</v>
      </c>
      <c r="B1315">
        <v>93.12</v>
      </c>
      <c r="C1315" t="s">
        <v>2887</v>
      </c>
      <c r="D1315" t="s">
        <v>2888</v>
      </c>
      <c r="E1315" t="s">
        <v>23</v>
      </c>
      <c r="F1315" t="s">
        <v>44</v>
      </c>
      <c r="G1315">
        <v>2018</v>
      </c>
      <c r="H1315" t="s">
        <v>62</v>
      </c>
      <c r="K1315" t="s">
        <v>25</v>
      </c>
      <c r="L1315" t="s">
        <v>26</v>
      </c>
      <c r="M1315" t="b">
        <v>1</v>
      </c>
      <c r="N1315" t="s">
        <v>131</v>
      </c>
      <c r="Q1315" t="b">
        <v>0</v>
      </c>
      <c r="S1315" t="str">
        <f>"9780310451891"</f>
        <v>9780310451891</v>
      </c>
      <c r="T1315" t="str">
        <f>"9780310451907"</f>
        <v>9780310451907</v>
      </c>
      <c r="U1315" t="b">
        <v>0</v>
      </c>
      <c r="W1315" t="b">
        <v>0</v>
      </c>
    </row>
    <row r="1316" spans="1:23" x14ac:dyDescent="0.3">
      <c r="A1316">
        <v>2981924</v>
      </c>
      <c r="B1316">
        <v>6.18</v>
      </c>
      <c r="C1316" t="s">
        <v>2889</v>
      </c>
      <c r="E1316" t="s">
        <v>23</v>
      </c>
      <c r="F1316" t="s">
        <v>44</v>
      </c>
      <c r="G1316">
        <v>2011</v>
      </c>
      <c r="H1316" t="s">
        <v>58</v>
      </c>
      <c r="K1316" t="s">
        <v>25</v>
      </c>
      <c r="L1316" t="s">
        <v>30</v>
      </c>
      <c r="M1316" t="b">
        <v>1</v>
      </c>
      <c r="N1316" t="s">
        <v>63</v>
      </c>
      <c r="P1316" t="s">
        <v>64</v>
      </c>
      <c r="Q1316" t="b">
        <v>0</v>
      </c>
      <c r="S1316" t="str">
        <f>"9780310264835"</f>
        <v>9780310264835</v>
      </c>
      <c r="T1316" t="str">
        <f>"9780310794776"</f>
        <v>9780310794776</v>
      </c>
      <c r="U1316" t="b">
        <v>0</v>
      </c>
      <c r="W1316" t="b">
        <v>0</v>
      </c>
    </row>
    <row r="1317" spans="1:23" x14ac:dyDescent="0.3">
      <c r="A1317">
        <v>2981923</v>
      </c>
      <c r="B1317">
        <v>86.22</v>
      </c>
      <c r="C1317" t="s">
        <v>2890</v>
      </c>
      <c r="D1317" t="s">
        <v>2891</v>
      </c>
      <c r="E1317" t="s">
        <v>23</v>
      </c>
      <c r="F1317" t="s">
        <v>44</v>
      </c>
      <c r="G1317">
        <v>2020</v>
      </c>
      <c r="H1317" t="s">
        <v>1154</v>
      </c>
      <c r="K1317" t="s">
        <v>25</v>
      </c>
      <c r="L1317" t="s">
        <v>26</v>
      </c>
      <c r="M1317" t="b">
        <v>1</v>
      </c>
      <c r="N1317" t="s">
        <v>752</v>
      </c>
      <c r="Q1317" t="b">
        <v>0</v>
      </c>
      <c r="S1317" t="str">
        <f>"9780310343127"</f>
        <v>9780310343127</v>
      </c>
      <c r="T1317" t="str">
        <f>"9780310343134"</f>
        <v>9780310343134</v>
      </c>
      <c r="U1317" t="b">
        <v>0</v>
      </c>
      <c r="W1317" t="b">
        <v>0</v>
      </c>
    </row>
    <row r="1318" spans="1:23" x14ac:dyDescent="0.3">
      <c r="A1318">
        <v>2981922</v>
      </c>
      <c r="B1318">
        <v>44.82</v>
      </c>
      <c r="C1318" t="s">
        <v>2892</v>
      </c>
      <c r="E1318" t="s">
        <v>23</v>
      </c>
      <c r="F1318" t="s">
        <v>44</v>
      </c>
      <c r="G1318">
        <v>2009</v>
      </c>
      <c r="H1318" t="s">
        <v>2535</v>
      </c>
      <c r="K1318" t="s">
        <v>25</v>
      </c>
      <c r="L1318" t="s">
        <v>30</v>
      </c>
      <c r="M1318" t="b">
        <v>1</v>
      </c>
      <c r="N1318" t="s">
        <v>2726</v>
      </c>
      <c r="P1318" t="s">
        <v>2874</v>
      </c>
      <c r="Q1318" t="b">
        <v>1</v>
      </c>
      <c r="S1318" t="str">
        <f>"9780310252351"</f>
        <v>9780310252351</v>
      </c>
      <c r="T1318" t="str">
        <f>"9780310317128"</f>
        <v>9780310317128</v>
      </c>
      <c r="U1318" t="b">
        <v>0</v>
      </c>
      <c r="W1318" t="b">
        <v>0</v>
      </c>
    </row>
    <row r="1319" spans="1:23" x14ac:dyDescent="0.3">
      <c r="A1319">
        <v>2981921</v>
      </c>
      <c r="B1319">
        <v>44.82</v>
      </c>
      <c r="C1319" t="s">
        <v>2893</v>
      </c>
      <c r="E1319" t="s">
        <v>23</v>
      </c>
      <c r="F1319" t="s">
        <v>44</v>
      </c>
      <c r="G1319">
        <v>2009</v>
      </c>
      <c r="H1319" t="s">
        <v>2894</v>
      </c>
      <c r="K1319" t="s">
        <v>25</v>
      </c>
      <c r="L1319" t="s">
        <v>30</v>
      </c>
      <c r="M1319" t="b">
        <v>1</v>
      </c>
      <c r="N1319" t="s">
        <v>1615</v>
      </c>
      <c r="P1319" t="s">
        <v>2895</v>
      </c>
      <c r="Q1319" t="b">
        <v>0</v>
      </c>
      <c r="S1319" t="str">
        <f>"9780310729037"</f>
        <v>9780310729037</v>
      </c>
      <c r="T1319" t="str">
        <f>"9780310567158"</f>
        <v>9780310567158</v>
      </c>
      <c r="U1319" t="b">
        <v>0</v>
      </c>
      <c r="W1319" t="b">
        <v>0</v>
      </c>
    </row>
    <row r="1320" spans="1:23" x14ac:dyDescent="0.3">
      <c r="A1320">
        <v>2981920</v>
      </c>
      <c r="B1320">
        <v>65.52</v>
      </c>
      <c r="C1320" t="s">
        <v>2896</v>
      </c>
      <c r="D1320" t="s">
        <v>2897</v>
      </c>
      <c r="E1320" t="s">
        <v>23</v>
      </c>
      <c r="F1320" t="s">
        <v>44</v>
      </c>
      <c r="G1320">
        <v>2009</v>
      </c>
      <c r="H1320" t="s">
        <v>56</v>
      </c>
      <c r="K1320" t="s">
        <v>25</v>
      </c>
      <c r="L1320" t="s">
        <v>30</v>
      </c>
      <c r="M1320" t="b">
        <v>1</v>
      </c>
      <c r="N1320" t="s">
        <v>2509</v>
      </c>
      <c r="Q1320" t="b">
        <v>0</v>
      </c>
      <c r="S1320" t="str">
        <f>"9780310345794"</f>
        <v>9780310345794</v>
      </c>
      <c r="T1320" t="str">
        <f>"9780310298144"</f>
        <v>9780310298144</v>
      </c>
      <c r="U1320" t="b">
        <v>0</v>
      </c>
      <c r="W1320" t="b">
        <v>0</v>
      </c>
    </row>
    <row r="1321" spans="1:23" x14ac:dyDescent="0.3">
      <c r="A1321">
        <v>2981919</v>
      </c>
      <c r="B1321">
        <v>31.02</v>
      </c>
      <c r="C1321" t="s">
        <v>2898</v>
      </c>
      <c r="E1321" t="s">
        <v>23</v>
      </c>
      <c r="F1321" t="s">
        <v>44</v>
      </c>
      <c r="G1321">
        <v>2019</v>
      </c>
      <c r="H1321" t="s">
        <v>772</v>
      </c>
      <c r="K1321" t="s">
        <v>25</v>
      </c>
      <c r="L1321" t="s">
        <v>26</v>
      </c>
      <c r="M1321" t="b">
        <v>1</v>
      </c>
      <c r="N1321" t="s">
        <v>958</v>
      </c>
      <c r="P1321" t="s">
        <v>2899</v>
      </c>
      <c r="Q1321" t="b">
        <v>1</v>
      </c>
      <c r="S1321" t="str">
        <f>"9780310363965"</f>
        <v>9780310363965</v>
      </c>
      <c r="T1321" t="str">
        <f>"9780529118745"</f>
        <v>9780529118745</v>
      </c>
      <c r="U1321" t="b">
        <v>0</v>
      </c>
      <c r="W1321" t="b">
        <v>0</v>
      </c>
    </row>
    <row r="1322" spans="1:23" x14ac:dyDescent="0.3">
      <c r="A1322">
        <v>2981917</v>
      </c>
      <c r="B1322">
        <v>56.82</v>
      </c>
      <c r="C1322" t="s">
        <v>2900</v>
      </c>
      <c r="D1322" t="s">
        <v>2266</v>
      </c>
      <c r="E1322" t="s">
        <v>23</v>
      </c>
      <c r="F1322" t="s">
        <v>44</v>
      </c>
      <c r="G1322">
        <v>2013</v>
      </c>
      <c r="H1322" t="s">
        <v>2767</v>
      </c>
      <c r="K1322" t="s">
        <v>25</v>
      </c>
      <c r="L1322" t="s">
        <v>30</v>
      </c>
      <c r="M1322" t="b">
        <v>1</v>
      </c>
      <c r="N1322" t="s">
        <v>44</v>
      </c>
      <c r="P1322" t="s">
        <v>1316</v>
      </c>
      <c r="Q1322" t="b">
        <v>0</v>
      </c>
      <c r="T1322" t="str">
        <f>"9780310432753"</f>
        <v>9780310432753</v>
      </c>
      <c r="U1322" t="b">
        <v>0</v>
      </c>
      <c r="W1322" t="b">
        <v>0</v>
      </c>
    </row>
    <row r="1323" spans="1:23" x14ac:dyDescent="0.3">
      <c r="A1323">
        <v>2981915</v>
      </c>
      <c r="B1323">
        <v>44.82</v>
      </c>
      <c r="C1323" t="s">
        <v>2901</v>
      </c>
      <c r="E1323" t="s">
        <v>23</v>
      </c>
      <c r="F1323" t="s">
        <v>44</v>
      </c>
      <c r="G1323">
        <v>2009</v>
      </c>
      <c r="H1323" t="s">
        <v>728</v>
      </c>
      <c r="K1323" t="s">
        <v>25</v>
      </c>
      <c r="L1323" t="s">
        <v>30</v>
      </c>
      <c r="M1323" t="b">
        <v>1</v>
      </c>
      <c r="N1323" t="s">
        <v>2902</v>
      </c>
      <c r="Q1323" t="b">
        <v>1</v>
      </c>
      <c r="S1323" t="str">
        <f>"9780310273905"</f>
        <v>9780310273905</v>
      </c>
      <c r="T1323" t="str">
        <f>"9780310564805"</f>
        <v>9780310564805</v>
      </c>
      <c r="U1323" t="b">
        <v>0</v>
      </c>
      <c r="W1323" t="b">
        <v>0</v>
      </c>
    </row>
    <row r="1324" spans="1:23" x14ac:dyDescent="0.3">
      <c r="A1324">
        <v>2981913</v>
      </c>
      <c r="B1324">
        <v>55.17</v>
      </c>
      <c r="C1324" t="s">
        <v>2903</v>
      </c>
      <c r="D1324" t="s">
        <v>2904</v>
      </c>
      <c r="E1324" t="s">
        <v>23</v>
      </c>
      <c r="F1324" t="s">
        <v>44</v>
      </c>
      <c r="G1324">
        <v>2009</v>
      </c>
      <c r="H1324" t="s">
        <v>89</v>
      </c>
      <c r="K1324" t="s">
        <v>25</v>
      </c>
      <c r="L1324" t="s">
        <v>30</v>
      </c>
      <c r="M1324" t="b">
        <v>1</v>
      </c>
      <c r="N1324" t="s">
        <v>888</v>
      </c>
      <c r="Q1324" t="b">
        <v>0</v>
      </c>
      <c r="S1324" t="str">
        <f>"9780310292494"</f>
        <v>9780310292494</v>
      </c>
      <c r="T1324" t="str">
        <f>"9780310297802"</f>
        <v>9780310297802</v>
      </c>
      <c r="U1324" t="b">
        <v>0</v>
      </c>
      <c r="W1324" t="b">
        <v>0</v>
      </c>
    </row>
    <row r="1325" spans="1:23" x14ac:dyDescent="0.3">
      <c r="A1325">
        <v>2981911</v>
      </c>
      <c r="B1325">
        <v>51.72</v>
      </c>
      <c r="C1325" t="s">
        <v>2905</v>
      </c>
      <c r="D1325" t="s">
        <v>2906</v>
      </c>
      <c r="E1325" t="s">
        <v>23</v>
      </c>
      <c r="F1325" t="s">
        <v>44</v>
      </c>
      <c r="G1325">
        <v>2010</v>
      </c>
      <c r="H1325" t="s">
        <v>62</v>
      </c>
      <c r="K1325" t="s">
        <v>25</v>
      </c>
      <c r="L1325" t="s">
        <v>30</v>
      </c>
      <c r="M1325" t="b">
        <v>1</v>
      </c>
      <c r="N1325" t="s">
        <v>2907</v>
      </c>
      <c r="Q1325" t="b">
        <v>0</v>
      </c>
      <c r="S1325" t="str">
        <f>"9780310350149"</f>
        <v>9780310350149</v>
      </c>
      <c r="T1325" t="str">
        <f>"9780310598831"</f>
        <v>9780310598831</v>
      </c>
      <c r="U1325" t="b">
        <v>0</v>
      </c>
      <c r="W1325" t="b">
        <v>0</v>
      </c>
    </row>
    <row r="1326" spans="1:23" x14ac:dyDescent="0.3">
      <c r="A1326">
        <v>2981910</v>
      </c>
      <c r="B1326">
        <v>51.72</v>
      </c>
      <c r="C1326" t="s">
        <v>2908</v>
      </c>
      <c r="D1326" t="s">
        <v>2909</v>
      </c>
      <c r="E1326" t="s">
        <v>23</v>
      </c>
      <c r="F1326" t="s">
        <v>44</v>
      </c>
      <c r="G1326">
        <v>2020</v>
      </c>
      <c r="H1326" t="s">
        <v>70</v>
      </c>
      <c r="I1326" t="s">
        <v>2910</v>
      </c>
      <c r="J1326" t="s">
        <v>1309</v>
      </c>
      <c r="K1326" t="s">
        <v>25</v>
      </c>
      <c r="L1326" t="s">
        <v>26</v>
      </c>
      <c r="M1326" t="b">
        <v>1</v>
      </c>
      <c r="N1326" t="s">
        <v>2911</v>
      </c>
      <c r="O1326" t="str">
        <f>"239"</f>
        <v>239</v>
      </c>
      <c r="Q1326" t="b">
        <v>0</v>
      </c>
      <c r="S1326" t="str">
        <f>"9780310119623"</f>
        <v>9780310119623</v>
      </c>
      <c r="T1326" t="str">
        <f>"9780310119746"</f>
        <v>9780310119746</v>
      </c>
      <c r="U1326" t="b">
        <v>0</v>
      </c>
      <c r="W1326" t="b">
        <v>0</v>
      </c>
    </row>
    <row r="1327" spans="1:23" x14ac:dyDescent="0.3">
      <c r="A1327">
        <v>2981908</v>
      </c>
      <c r="B1327">
        <v>68.97</v>
      </c>
      <c r="C1327" t="s">
        <v>2912</v>
      </c>
      <c r="D1327" t="s">
        <v>2913</v>
      </c>
      <c r="E1327" t="s">
        <v>23</v>
      </c>
      <c r="F1327" t="s">
        <v>44</v>
      </c>
      <c r="G1327">
        <v>2018</v>
      </c>
      <c r="H1327" t="s">
        <v>738</v>
      </c>
      <c r="K1327" t="s">
        <v>25</v>
      </c>
      <c r="L1327" t="s">
        <v>26</v>
      </c>
      <c r="M1327" t="b">
        <v>1</v>
      </c>
      <c r="N1327" t="s">
        <v>2914</v>
      </c>
      <c r="Q1327" t="b">
        <v>0</v>
      </c>
      <c r="S1327" t="str">
        <f>"9780310330691"</f>
        <v>9780310330691</v>
      </c>
      <c r="T1327" t="str">
        <f>"9780310350415"</f>
        <v>9780310350415</v>
      </c>
      <c r="U1327" t="b">
        <v>0</v>
      </c>
      <c r="W1327" t="b">
        <v>0</v>
      </c>
    </row>
    <row r="1328" spans="1:23" x14ac:dyDescent="0.3">
      <c r="A1328">
        <v>2981906</v>
      </c>
      <c r="B1328">
        <v>55.17</v>
      </c>
      <c r="C1328" t="s">
        <v>2915</v>
      </c>
      <c r="D1328" t="s">
        <v>2916</v>
      </c>
      <c r="E1328" t="s">
        <v>23</v>
      </c>
      <c r="F1328" t="s">
        <v>44</v>
      </c>
      <c r="G1328">
        <v>2009</v>
      </c>
      <c r="H1328" t="s">
        <v>69</v>
      </c>
      <c r="K1328" t="s">
        <v>25</v>
      </c>
      <c r="L1328" t="s">
        <v>30</v>
      </c>
      <c r="M1328" t="b">
        <v>1</v>
      </c>
      <c r="N1328" t="s">
        <v>2917</v>
      </c>
      <c r="Q1328" t="b">
        <v>0</v>
      </c>
      <c r="S1328" t="str">
        <f>"9780310273943"</f>
        <v>9780310273943</v>
      </c>
      <c r="T1328" t="str">
        <f>"9780310541943"</f>
        <v>9780310541943</v>
      </c>
      <c r="U1328" t="b">
        <v>0</v>
      </c>
      <c r="W1328" t="b">
        <v>0</v>
      </c>
    </row>
    <row r="1329" spans="1:23" x14ac:dyDescent="0.3">
      <c r="A1329">
        <v>2981905</v>
      </c>
      <c r="B1329">
        <v>58.62</v>
      </c>
      <c r="C1329" t="s">
        <v>2918</v>
      </c>
      <c r="D1329" t="s">
        <v>2919</v>
      </c>
      <c r="E1329" t="s">
        <v>23</v>
      </c>
      <c r="F1329" t="s">
        <v>44</v>
      </c>
      <c r="G1329">
        <v>2011</v>
      </c>
      <c r="H1329" t="s">
        <v>56</v>
      </c>
      <c r="I1329" t="s">
        <v>2920</v>
      </c>
      <c r="J1329" t="s">
        <v>2921</v>
      </c>
      <c r="K1329" t="s">
        <v>25</v>
      </c>
      <c r="L1329" t="s">
        <v>26</v>
      </c>
      <c r="M1329" t="b">
        <v>1</v>
      </c>
      <c r="N1329" t="s">
        <v>2922</v>
      </c>
      <c r="O1329" t="str">
        <f>"158.2"</f>
        <v>158.2</v>
      </c>
      <c r="Q1329" t="b">
        <v>0</v>
      </c>
      <c r="S1329" t="str">
        <f>"9780310330769"</f>
        <v>9780310330769</v>
      </c>
      <c r="T1329" t="str">
        <f>"9780310412908"</f>
        <v>9780310412908</v>
      </c>
      <c r="U1329" t="b">
        <v>0</v>
      </c>
      <c r="W1329" t="b">
        <v>0</v>
      </c>
    </row>
    <row r="1330" spans="1:23" x14ac:dyDescent="0.3">
      <c r="A1330">
        <v>2981904</v>
      </c>
      <c r="B1330">
        <v>68.97</v>
      </c>
      <c r="C1330" t="s">
        <v>2923</v>
      </c>
      <c r="D1330" t="s">
        <v>2924</v>
      </c>
      <c r="E1330" t="s">
        <v>23</v>
      </c>
      <c r="F1330" t="s">
        <v>44</v>
      </c>
      <c r="G1330">
        <v>2009</v>
      </c>
      <c r="H1330" t="s">
        <v>56</v>
      </c>
      <c r="K1330" t="s">
        <v>25</v>
      </c>
      <c r="L1330" t="s">
        <v>30</v>
      </c>
      <c r="M1330" t="b">
        <v>1</v>
      </c>
      <c r="N1330" t="s">
        <v>2666</v>
      </c>
      <c r="Q1330" t="b">
        <v>0</v>
      </c>
      <c r="S1330" t="str">
        <f>"9780310272458"</f>
        <v>9780310272458</v>
      </c>
      <c r="T1330" t="str">
        <f>"9780310540878"</f>
        <v>9780310540878</v>
      </c>
      <c r="U1330" t="b">
        <v>0</v>
      </c>
      <c r="W1330" t="b">
        <v>0</v>
      </c>
    </row>
    <row r="1331" spans="1:23" x14ac:dyDescent="0.3">
      <c r="A1331">
        <v>2981903</v>
      </c>
      <c r="B1331">
        <v>68.97</v>
      </c>
      <c r="C1331" t="s">
        <v>2925</v>
      </c>
      <c r="D1331" t="s">
        <v>2926</v>
      </c>
      <c r="E1331" t="s">
        <v>23</v>
      </c>
      <c r="F1331" t="s">
        <v>44</v>
      </c>
      <c r="G1331">
        <v>2020</v>
      </c>
      <c r="H1331" t="s">
        <v>99</v>
      </c>
      <c r="K1331" t="s">
        <v>25</v>
      </c>
      <c r="L1331" t="s">
        <v>26</v>
      </c>
      <c r="M1331" t="b">
        <v>1</v>
      </c>
      <c r="N1331" t="s">
        <v>795</v>
      </c>
      <c r="Q1331" t="b">
        <v>0</v>
      </c>
      <c r="S1331" t="str">
        <f>"9780310537083"</f>
        <v>9780310537083</v>
      </c>
      <c r="T1331" t="str">
        <f>"9780310537106"</f>
        <v>9780310537106</v>
      </c>
      <c r="U1331" t="b">
        <v>0</v>
      </c>
      <c r="W1331" t="b">
        <v>0</v>
      </c>
    </row>
    <row r="1332" spans="1:23" x14ac:dyDescent="0.3">
      <c r="A1332">
        <v>2981902</v>
      </c>
      <c r="B1332">
        <v>24.12</v>
      </c>
      <c r="C1332" t="s">
        <v>2927</v>
      </c>
      <c r="E1332" t="s">
        <v>23</v>
      </c>
      <c r="F1332" t="s">
        <v>44</v>
      </c>
      <c r="G1332">
        <v>2019</v>
      </c>
      <c r="H1332" t="s">
        <v>62</v>
      </c>
      <c r="K1332" t="s">
        <v>25</v>
      </c>
      <c r="L1332" t="s">
        <v>26</v>
      </c>
      <c r="M1332" t="b">
        <v>1</v>
      </c>
      <c r="N1332" t="s">
        <v>2928</v>
      </c>
      <c r="P1332" t="s">
        <v>2929</v>
      </c>
      <c r="Q1332" t="b">
        <v>0</v>
      </c>
      <c r="S1332" t="str">
        <f>"9780310274414"</f>
        <v>9780310274414</v>
      </c>
      <c r="T1332" t="str">
        <f>"9780310295945"</f>
        <v>9780310295945</v>
      </c>
      <c r="U1332" t="b">
        <v>0</v>
      </c>
      <c r="W1332" t="b">
        <v>0</v>
      </c>
    </row>
    <row r="1333" spans="1:23" x14ac:dyDescent="0.3">
      <c r="A1333">
        <v>2981901</v>
      </c>
      <c r="B1333">
        <v>35.5</v>
      </c>
      <c r="C1333" t="s">
        <v>2930</v>
      </c>
      <c r="D1333" t="s">
        <v>2834</v>
      </c>
      <c r="E1333" t="s">
        <v>23</v>
      </c>
      <c r="F1333" t="s">
        <v>44</v>
      </c>
      <c r="G1333">
        <v>2010</v>
      </c>
      <c r="H1333" t="s">
        <v>62</v>
      </c>
      <c r="K1333" t="s">
        <v>25</v>
      </c>
      <c r="L1333" t="s">
        <v>30</v>
      </c>
      <c r="M1333" t="b">
        <v>1</v>
      </c>
      <c r="N1333" t="s">
        <v>44</v>
      </c>
      <c r="Q1333" t="b">
        <v>0</v>
      </c>
      <c r="T1333" t="str">
        <f>"9780310870418"</f>
        <v>9780310870418</v>
      </c>
      <c r="U1333" t="b">
        <v>0</v>
      </c>
      <c r="W1333" t="b">
        <v>0</v>
      </c>
    </row>
    <row r="1334" spans="1:23" x14ac:dyDescent="0.3">
      <c r="A1334">
        <v>2981900</v>
      </c>
      <c r="B1334">
        <v>10.32</v>
      </c>
      <c r="C1334" t="s">
        <v>2931</v>
      </c>
      <c r="E1334" t="s">
        <v>23</v>
      </c>
      <c r="F1334" t="s">
        <v>44</v>
      </c>
      <c r="G1334">
        <v>2012</v>
      </c>
      <c r="H1334" t="s">
        <v>1080</v>
      </c>
      <c r="K1334" t="s">
        <v>25</v>
      </c>
      <c r="L1334" t="s">
        <v>30</v>
      </c>
      <c r="M1334" t="b">
        <v>1</v>
      </c>
      <c r="N1334" t="s">
        <v>419</v>
      </c>
      <c r="Q1334" t="b">
        <v>0</v>
      </c>
      <c r="S1334" t="str">
        <f>"9780310325505"</f>
        <v>9780310325505</v>
      </c>
      <c r="T1334" t="str">
        <f>"9780310320517"</f>
        <v>9780310320517</v>
      </c>
      <c r="U1334" t="b">
        <v>0</v>
      </c>
      <c r="W1334" t="b">
        <v>0</v>
      </c>
    </row>
    <row r="1335" spans="1:23" x14ac:dyDescent="0.3">
      <c r="A1335">
        <v>2981898</v>
      </c>
      <c r="B1335">
        <v>58.62</v>
      </c>
      <c r="C1335" t="s">
        <v>2932</v>
      </c>
      <c r="E1335" t="s">
        <v>23</v>
      </c>
      <c r="F1335" t="s">
        <v>44</v>
      </c>
      <c r="G1335">
        <v>2008</v>
      </c>
      <c r="H1335" t="s">
        <v>2933</v>
      </c>
      <c r="K1335" t="s">
        <v>25</v>
      </c>
      <c r="L1335" t="s">
        <v>26</v>
      </c>
      <c r="M1335" t="b">
        <v>1</v>
      </c>
      <c r="N1335" t="s">
        <v>2616</v>
      </c>
      <c r="Q1335" t="b">
        <v>0</v>
      </c>
      <c r="S1335" t="str">
        <f>"9780310340546"</f>
        <v>9780310340546</v>
      </c>
      <c r="T1335" t="str">
        <f>"9780310295495"</f>
        <v>9780310295495</v>
      </c>
      <c r="U1335" t="b">
        <v>0</v>
      </c>
      <c r="W1335" t="b">
        <v>0</v>
      </c>
    </row>
    <row r="1336" spans="1:23" x14ac:dyDescent="0.3">
      <c r="A1336">
        <v>2981897</v>
      </c>
      <c r="B1336">
        <v>93.12</v>
      </c>
      <c r="C1336" t="s">
        <v>2934</v>
      </c>
      <c r="D1336" t="s">
        <v>2935</v>
      </c>
      <c r="E1336" t="s">
        <v>23</v>
      </c>
      <c r="F1336" t="s">
        <v>44</v>
      </c>
      <c r="G1336">
        <v>2016</v>
      </c>
      <c r="H1336" t="s">
        <v>89</v>
      </c>
      <c r="K1336" t="s">
        <v>25</v>
      </c>
      <c r="L1336" t="s">
        <v>26</v>
      </c>
      <c r="M1336" t="b">
        <v>1</v>
      </c>
      <c r="N1336" t="s">
        <v>1017</v>
      </c>
      <c r="Q1336" t="b">
        <v>0</v>
      </c>
      <c r="S1336" t="str">
        <f>"9780310342991"</f>
        <v>9780310342991</v>
      </c>
      <c r="T1336" t="str">
        <f>"9780310343042"</f>
        <v>9780310343042</v>
      </c>
      <c r="U1336" t="b">
        <v>0</v>
      </c>
      <c r="W1336" t="b">
        <v>0</v>
      </c>
    </row>
    <row r="1337" spans="1:23" x14ac:dyDescent="0.3">
      <c r="A1337">
        <v>2981896</v>
      </c>
      <c r="B1337">
        <v>42.61</v>
      </c>
      <c r="C1337" t="s">
        <v>2936</v>
      </c>
      <c r="D1337" t="s">
        <v>2853</v>
      </c>
      <c r="E1337" t="s">
        <v>23</v>
      </c>
      <c r="F1337" t="s">
        <v>44</v>
      </c>
      <c r="G1337">
        <v>2009</v>
      </c>
      <c r="H1337" t="s">
        <v>132</v>
      </c>
      <c r="K1337" t="s">
        <v>25</v>
      </c>
      <c r="L1337" t="s">
        <v>30</v>
      </c>
      <c r="M1337" t="b">
        <v>1</v>
      </c>
      <c r="N1337" t="s">
        <v>2689</v>
      </c>
      <c r="Q1337" t="b">
        <v>0</v>
      </c>
      <c r="T1337" t="str">
        <f>"9780310297604"</f>
        <v>9780310297604</v>
      </c>
      <c r="U1337" t="b">
        <v>0</v>
      </c>
      <c r="W1337" t="b">
        <v>0</v>
      </c>
    </row>
    <row r="1338" spans="1:23" x14ac:dyDescent="0.3">
      <c r="A1338">
        <v>2981895</v>
      </c>
      <c r="B1338">
        <v>28.39</v>
      </c>
      <c r="C1338" t="s">
        <v>2937</v>
      </c>
      <c r="D1338" t="s">
        <v>2777</v>
      </c>
      <c r="E1338" t="s">
        <v>23</v>
      </c>
      <c r="F1338" t="s">
        <v>44</v>
      </c>
      <c r="G1338">
        <v>2008</v>
      </c>
      <c r="H1338" t="s">
        <v>132</v>
      </c>
      <c r="K1338" t="s">
        <v>25</v>
      </c>
      <c r="L1338" t="s">
        <v>26</v>
      </c>
      <c r="M1338" t="b">
        <v>1</v>
      </c>
      <c r="N1338" t="s">
        <v>2461</v>
      </c>
      <c r="Q1338" t="b">
        <v>0</v>
      </c>
      <c r="T1338" t="str">
        <f>"9780310296140"</f>
        <v>9780310296140</v>
      </c>
      <c r="U1338" t="b">
        <v>0</v>
      </c>
      <c r="W1338" t="b">
        <v>0</v>
      </c>
    </row>
    <row r="1339" spans="1:23" x14ac:dyDescent="0.3">
      <c r="A1339">
        <v>2981894</v>
      </c>
      <c r="B1339">
        <v>39.049999999999997</v>
      </c>
      <c r="C1339" t="s">
        <v>2938</v>
      </c>
      <c r="D1339" t="s">
        <v>2939</v>
      </c>
      <c r="E1339" t="s">
        <v>23</v>
      </c>
      <c r="F1339" t="s">
        <v>44</v>
      </c>
      <c r="G1339">
        <v>2008</v>
      </c>
      <c r="H1339" t="s">
        <v>58</v>
      </c>
      <c r="K1339" t="s">
        <v>25</v>
      </c>
      <c r="L1339" t="s">
        <v>30</v>
      </c>
      <c r="M1339" t="b">
        <v>1</v>
      </c>
      <c r="N1339" t="s">
        <v>2940</v>
      </c>
      <c r="Q1339" t="b">
        <v>0</v>
      </c>
      <c r="S1339" t="str">
        <f>"9780310324942"</f>
        <v>9780310324942</v>
      </c>
      <c r="T1339" t="str">
        <f>"9780310295631"</f>
        <v>9780310295631</v>
      </c>
      <c r="U1339" t="b">
        <v>0</v>
      </c>
      <c r="W1339" t="b">
        <v>0</v>
      </c>
    </row>
    <row r="1340" spans="1:23" x14ac:dyDescent="0.3">
      <c r="A1340">
        <v>2981893</v>
      </c>
      <c r="B1340">
        <v>44.82</v>
      </c>
      <c r="C1340" t="s">
        <v>2941</v>
      </c>
      <c r="E1340" t="s">
        <v>23</v>
      </c>
      <c r="F1340" t="s">
        <v>44</v>
      </c>
      <c r="G1340">
        <v>2009</v>
      </c>
      <c r="H1340" t="s">
        <v>714</v>
      </c>
      <c r="K1340" t="s">
        <v>25</v>
      </c>
      <c r="L1340" t="s">
        <v>30</v>
      </c>
      <c r="M1340" t="b">
        <v>1</v>
      </c>
      <c r="N1340" t="s">
        <v>1615</v>
      </c>
      <c r="P1340" t="s">
        <v>2895</v>
      </c>
      <c r="Q1340" t="b">
        <v>1</v>
      </c>
      <c r="S1340" t="str">
        <f>"9780310729044"</f>
        <v>9780310729044</v>
      </c>
      <c r="T1340" t="str">
        <f>"9780310567639"</f>
        <v>9780310567639</v>
      </c>
      <c r="U1340" t="b">
        <v>0</v>
      </c>
      <c r="W1340" t="b">
        <v>0</v>
      </c>
    </row>
    <row r="1341" spans="1:23" x14ac:dyDescent="0.3">
      <c r="A1341">
        <v>2981892</v>
      </c>
      <c r="B1341">
        <v>56.82</v>
      </c>
      <c r="C1341" t="s">
        <v>2942</v>
      </c>
      <c r="D1341" t="s">
        <v>2943</v>
      </c>
      <c r="E1341" t="s">
        <v>23</v>
      </c>
      <c r="F1341" t="s">
        <v>44</v>
      </c>
      <c r="G1341">
        <v>2013</v>
      </c>
      <c r="H1341" t="s">
        <v>1234</v>
      </c>
      <c r="K1341" t="s">
        <v>25</v>
      </c>
      <c r="L1341" t="s">
        <v>30</v>
      </c>
      <c r="M1341" t="b">
        <v>1</v>
      </c>
      <c r="N1341" t="s">
        <v>2944</v>
      </c>
      <c r="Q1341" t="b">
        <v>0</v>
      </c>
      <c r="S1341" t="str">
        <f>"9780310326090"</f>
        <v>9780310326090</v>
      </c>
      <c r="T1341" t="str">
        <f>"9780310587156"</f>
        <v>9780310587156</v>
      </c>
      <c r="U1341" t="b">
        <v>0</v>
      </c>
      <c r="W1341" t="b">
        <v>0</v>
      </c>
    </row>
    <row r="1342" spans="1:23" x14ac:dyDescent="0.3">
      <c r="A1342">
        <v>2981891</v>
      </c>
      <c r="B1342">
        <v>46.16</v>
      </c>
      <c r="C1342" t="s">
        <v>2945</v>
      </c>
      <c r="D1342" t="s">
        <v>2946</v>
      </c>
      <c r="E1342" t="s">
        <v>23</v>
      </c>
      <c r="F1342" t="s">
        <v>44</v>
      </c>
      <c r="G1342">
        <v>2009</v>
      </c>
      <c r="H1342" t="s">
        <v>132</v>
      </c>
      <c r="K1342" t="s">
        <v>25</v>
      </c>
      <c r="L1342" t="s">
        <v>30</v>
      </c>
      <c r="M1342" t="b">
        <v>1</v>
      </c>
      <c r="N1342" t="s">
        <v>2947</v>
      </c>
      <c r="Q1342" t="b">
        <v>0</v>
      </c>
      <c r="T1342" t="str">
        <f>"9780310560555"</f>
        <v>9780310560555</v>
      </c>
      <c r="U1342" t="b">
        <v>0</v>
      </c>
      <c r="W1342" t="b">
        <v>0</v>
      </c>
    </row>
    <row r="1343" spans="1:23" x14ac:dyDescent="0.3">
      <c r="A1343">
        <v>2981890</v>
      </c>
      <c r="B1343">
        <v>51.72</v>
      </c>
      <c r="C1343" t="s">
        <v>2948</v>
      </c>
      <c r="E1343" t="s">
        <v>23</v>
      </c>
      <c r="F1343" t="s">
        <v>44</v>
      </c>
      <c r="G1343">
        <v>2009</v>
      </c>
      <c r="H1343" t="s">
        <v>66</v>
      </c>
      <c r="K1343" t="s">
        <v>25</v>
      </c>
      <c r="L1343" t="s">
        <v>30</v>
      </c>
      <c r="M1343" t="b">
        <v>1</v>
      </c>
      <c r="N1343" t="s">
        <v>2709</v>
      </c>
      <c r="P1343" t="s">
        <v>2710</v>
      </c>
      <c r="Q1343" t="b">
        <v>1</v>
      </c>
      <c r="S1343" t="str">
        <f>"9780310251064"</f>
        <v>9780310251064</v>
      </c>
      <c r="T1343" t="str">
        <f>"9780310543190"</f>
        <v>9780310543190</v>
      </c>
      <c r="U1343" t="b">
        <v>0</v>
      </c>
      <c r="W1343" t="b">
        <v>0</v>
      </c>
    </row>
    <row r="1344" spans="1:23" x14ac:dyDescent="0.3">
      <c r="A1344">
        <v>2981889</v>
      </c>
      <c r="B1344">
        <v>58.62</v>
      </c>
      <c r="C1344" t="s">
        <v>2949</v>
      </c>
      <c r="D1344" t="s">
        <v>2950</v>
      </c>
      <c r="E1344" t="s">
        <v>23</v>
      </c>
      <c r="F1344" t="s">
        <v>44</v>
      </c>
      <c r="G1344">
        <v>2011</v>
      </c>
      <c r="H1344" t="s">
        <v>58</v>
      </c>
      <c r="K1344" t="s">
        <v>25</v>
      </c>
      <c r="L1344" t="s">
        <v>30</v>
      </c>
      <c r="M1344" t="b">
        <v>1</v>
      </c>
      <c r="N1344" t="s">
        <v>752</v>
      </c>
      <c r="Q1344" t="b">
        <v>0</v>
      </c>
      <c r="S1344" t="str">
        <f>"9780310315766"</f>
        <v>9780310315766</v>
      </c>
      <c r="T1344" t="str">
        <f>"9780310597438"</f>
        <v>9780310597438</v>
      </c>
      <c r="U1344" t="b">
        <v>0</v>
      </c>
      <c r="W1344" t="b">
        <v>0</v>
      </c>
    </row>
    <row r="1345" spans="1:23" x14ac:dyDescent="0.3">
      <c r="A1345">
        <v>2981888</v>
      </c>
      <c r="B1345">
        <v>42.61</v>
      </c>
      <c r="C1345" t="s">
        <v>2951</v>
      </c>
      <c r="E1345" t="s">
        <v>23</v>
      </c>
      <c r="F1345" t="s">
        <v>44</v>
      </c>
      <c r="G1345">
        <v>2009</v>
      </c>
      <c r="H1345" t="s">
        <v>66</v>
      </c>
      <c r="K1345" t="s">
        <v>25</v>
      </c>
      <c r="L1345" t="s">
        <v>30</v>
      </c>
      <c r="M1345" t="b">
        <v>1</v>
      </c>
      <c r="N1345" t="s">
        <v>2952</v>
      </c>
      <c r="P1345" t="s">
        <v>2953</v>
      </c>
      <c r="Q1345" t="b">
        <v>1</v>
      </c>
      <c r="T1345" t="str">
        <f>"9780310317241"</f>
        <v>9780310317241</v>
      </c>
      <c r="U1345" t="b">
        <v>0</v>
      </c>
      <c r="W1345" t="b">
        <v>0</v>
      </c>
    </row>
    <row r="1346" spans="1:23" x14ac:dyDescent="0.3">
      <c r="A1346">
        <v>2981887</v>
      </c>
      <c r="B1346">
        <v>58.62</v>
      </c>
      <c r="C1346" t="s">
        <v>2954</v>
      </c>
      <c r="D1346" t="s">
        <v>2955</v>
      </c>
      <c r="E1346" t="s">
        <v>23</v>
      </c>
      <c r="F1346" t="s">
        <v>44</v>
      </c>
      <c r="G1346">
        <v>2009</v>
      </c>
      <c r="H1346" t="s">
        <v>132</v>
      </c>
      <c r="K1346" t="s">
        <v>25</v>
      </c>
      <c r="L1346" t="s">
        <v>26</v>
      </c>
      <c r="M1346" t="b">
        <v>1</v>
      </c>
      <c r="N1346" t="s">
        <v>2956</v>
      </c>
      <c r="Q1346" t="b">
        <v>0</v>
      </c>
      <c r="S1346" t="str">
        <f>"9780310328896"</f>
        <v>9780310328896</v>
      </c>
      <c r="T1346" t="str">
        <f>"9780310859468"</f>
        <v>9780310859468</v>
      </c>
      <c r="U1346" t="b">
        <v>0</v>
      </c>
      <c r="W1346" t="b">
        <v>0</v>
      </c>
    </row>
    <row r="1347" spans="1:23" x14ac:dyDescent="0.3">
      <c r="A1347">
        <v>2981885</v>
      </c>
      <c r="B1347">
        <v>51.72</v>
      </c>
      <c r="C1347" t="s">
        <v>2957</v>
      </c>
      <c r="E1347" t="s">
        <v>23</v>
      </c>
      <c r="F1347" t="s">
        <v>44</v>
      </c>
      <c r="G1347">
        <v>2009</v>
      </c>
      <c r="H1347" t="s">
        <v>66</v>
      </c>
      <c r="K1347" t="s">
        <v>25</v>
      </c>
      <c r="L1347" t="s">
        <v>30</v>
      </c>
      <c r="M1347" t="b">
        <v>1</v>
      </c>
      <c r="N1347" t="s">
        <v>2709</v>
      </c>
      <c r="P1347" t="s">
        <v>2710</v>
      </c>
      <c r="Q1347" t="b">
        <v>1</v>
      </c>
      <c r="S1347" t="str">
        <f>"9780310251033"</f>
        <v>9780310251033</v>
      </c>
      <c r="T1347" t="str">
        <f>"9780310316701"</f>
        <v>9780310316701</v>
      </c>
      <c r="U1347" t="b">
        <v>0</v>
      </c>
      <c r="W1347" t="b">
        <v>0</v>
      </c>
    </row>
    <row r="1348" spans="1:23" x14ac:dyDescent="0.3">
      <c r="A1348">
        <v>2981884</v>
      </c>
      <c r="B1348">
        <v>51.72</v>
      </c>
      <c r="C1348" t="s">
        <v>2958</v>
      </c>
      <c r="D1348" t="s">
        <v>1405</v>
      </c>
      <c r="E1348" t="s">
        <v>23</v>
      </c>
      <c r="F1348" t="s">
        <v>44</v>
      </c>
      <c r="G1348">
        <v>2010</v>
      </c>
      <c r="H1348" t="s">
        <v>67</v>
      </c>
      <c r="K1348" t="s">
        <v>25</v>
      </c>
      <c r="M1348" t="b">
        <v>1</v>
      </c>
      <c r="N1348" t="s">
        <v>2959</v>
      </c>
      <c r="P1348" t="s">
        <v>2960</v>
      </c>
      <c r="Q1348" t="b">
        <v>1</v>
      </c>
      <c r="S1348" t="str">
        <f>"9780310278382"</f>
        <v>9780310278382</v>
      </c>
      <c r="T1348" t="str">
        <f>"9780310562986"</f>
        <v>9780310562986</v>
      </c>
      <c r="U1348" t="b">
        <v>0</v>
      </c>
      <c r="W1348" t="b">
        <v>0</v>
      </c>
    </row>
    <row r="1349" spans="1:23" x14ac:dyDescent="0.3">
      <c r="A1349">
        <v>2981883</v>
      </c>
      <c r="B1349">
        <v>55.17</v>
      </c>
      <c r="C1349" t="s">
        <v>2961</v>
      </c>
      <c r="E1349" t="s">
        <v>23</v>
      </c>
      <c r="F1349" t="s">
        <v>44</v>
      </c>
      <c r="G1349">
        <v>2016</v>
      </c>
      <c r="H1349" t="s">
        <v>2535</v>
      </c>
      <c r="K1349" t="s">
        <v>25</v>
      </c>
      <c r="L1349" t="s">
        <v>26</v>
      </c>
      <c r="M1349" t="b">
        <v>1</v>
      </c>
      <c r="N1349" t="s">
        <v>2962</v>
      </c>
      <c r="P1349" t="s">
        <v>2963</v>
      </c>
      <c r="Q1349" t="b">
        <v>1</v>
      </c>
      <c r="S1349" t="str">
        <f>"9780310336037"</f>
        <v>9780310336037</v>
      </c>
      <c r="T1349" t="str">
        <f>"9780310336051"</f>
        <v>9780310336051</v>
      </c>
      <c r="U1349" t="b">
        <v>0</v>
      </c>
      <c r="W1349" t="b">
        <v>0</v>
      </c>
    </row>
    <row r="1350" spans="1:23" x14ac:dyDescent="0.3">
      <c r="A1350">
        <v>2981882</v>
      </c>
      <c r="B1350">
        <v>71.03</v>
      </c>
      <c r="C1350" t="s">
        <v>2964</v>
      </c>
      <c r="D1350" t="s">
        <v>2965</v>
      </c>
      <c r="E1350" t="s">
        <v>23</v>
      </c>
      <c r="F1350" t="s">
        <v>44</v>
      </c>
      <c r="G1350">
        <v>2010</v>
      </c>
      <c r="H1350" t="s">
        <v>52</v>
      </c>
      <c r="K1350" t="s">
        <v>25</v>
      </c>
      <c r="L1350" t="s">
        <v>30</v>
      </c>
      <c r="M1350" t="b">
        <v>1</v>
      </c>
      <c r="N1350" t="s">
        <v>2966</v>
      </c>
      <c r="Q1350" t="b">
        <v>0</v>
      </c>
      <c r="T1350" t="str">
        <f>"9780310873808"</f>
        <v>9780310873808</v>
      </c>
      <c r="U1350" t="b">
        <v>0</v>
      </c>
      <c r="W1350" t="b">
        <v>0</v>
      </c>
    </row>
    <row r="1351" spans="1:23" x14ac:dyDescent="0.3">
      <c r="A1351">
        <v>2981881</v>
      </c>
      <c r="B1351">
        <v>58.62</v>
      </c>
      <c r="C1351" t="s">
        <v>2967</v>
      </c>
      <c r="D1351" t="s">
        <v>2968</v>
      </c>
      <c r="E1351" t="s">
        <v>23</v>
      </c>
      <c r="F1351" t="s">
        <v>44</v>
      </c>
      <c r="G1351">
        <v>2021</v>
      </c>
      <c r="H1351" t="s">
        <v>99</v>
      </c>
      <c r="K1351" t="s">
        <v>25</v>
      </c>
      <c r="L1351" t="s">
        <v>26</v>
      </c>
      <c r="M1351" t="b">
        <v>1</v>
      </c>
      <c r="N1351" t="s">
        <v>2969</v>
      </c>
      <c r="Q1351" t="b">
        <v>0</v>
      </c>
      <c r="S1351" t="str">
        <f>"9780310318231"</f>
        <v>9780310318231</v>
      </c>
      <c r="T1351" t="str">
        <f>"9780310364948"</f>
        <v>9780310364948</v>
      </c>
      <c r="U1351" t="b">
        <v>0</v>
      </c>
      <c r="W1351" t="b">
        <v>0</v>
      </c>
    </row>
    <row r="1352" spans="1:23" x14ac:dyDescent="0.3">
      <c r="A1352">
        <v>2981880</v>
      </c>
      <c r="B1352">
        <v>44.82</v>
      </c>
      <c r="C1352" t="s">
        <v>2970</v>
      </c>
      <c r="E1352" t="s">
        <v>23</v>
      </c>
      <c r="F1352" t="s">
        <v>44</v>
      </c>
      <c r="G1352">
        <v>2009</v>
      </c>
      <c r="H1352" t="s">
        <v>2535</v>
      </c>
      <c r="K1352" t="s">
        <v>25</v>
      </c>
      <c r="L1352" t="s">
        <v>30</v>
      </c>
      <c r="M1352" t="b">
        <v>1</v>
      </c>
      <c r="N1352" t="s">
        <v>2726</v>
      </c>
      <c r="Q1352" t="b">
        <v>1</v>
      </c>
      <c r="S1352" t="str">
        <f>"9780310246992"</f>
        <v>9780310246992</v>
      </c>
      <c r="T1352" t="str">
        <f>"9780310559832"</f>
        <v>9780310559832</v>
      </c>
      <c r="U1352" t="b">
        <v>0</v>
      </c>
      <c r="W1352" t="b">
        <v>0</v>
      </c>
    </row>
    <row r="1353" spans="1:23" x14ac:dyDescent="0.3">
      <c r="A1353">
        <v>2981879</v>
      </c>
      <c r="B1353">
        <v>58.62</v>
      </c>
      <c r="C1353" t="s">
        <v>2971</v>
      </c>
      <c r="D1353" t="s">
        <v>2972</v>
      </c>
      <c r="E1353" t="s">
        <v>23</v>
      </c>
      <c r="F1353" t="s">
        <v>44</v>
      </c>
      <c r="G1353">
        <v>2018</v>
      </c>
      <c r="H1353" t="s">
        <v>2973</v>
      </c>
      <c r="K1353" t="s">
        <v>25</v>
      </c>
      <c r="L1353" t="s">
        <v>26</v>
      </c>
      <c r="M1353" t="b">
        <v>1</v>
      </c>
      <c r="N1353" t="s">
        <v>2974</v>
      </c>
      <c r="Q1353" t="b">
        <v>0</v>
      </c>
      <c r="S1353" t="str">
        <f>"9780310764854"</f>
        <v>9780310764854</v>
      </c>
      <c r="T1353" t="str">
        <f>"9780310764908"</f>
        <v>9780310764908</v>
      </c>
      <c r="U1353" t="b">
        <v>0</v>
      </c>
      <c r="W1353" t="b">
        <v>0</v>
      </c>
    </row>
    <row r="1354" spans="1:23" x14ac:dyDescent="0.3">
      <c r="A1354">
        <v>2981878</v>
      </c>
      <c r="B1354">
        <v>34.47</v>
      </c>
      <c r="C1354" t="s">
        <v>2975</v>
      </c>
      <c r="D1354" t="s">
        <v>2976</v>
      </c>
      <c r="E1354" t="s">
        <v>23</v>
      </c>
      <c r="F1354" t="s">
        <v>44</v>
      </c>
      <c r="G1354">
        <v>2011</v>
      </c>
      <c r="H1354" t="s">
        <v>531</v>
      </c>
      <c r="K1354" t="s">
        <v>25</v>
      </c>
      <c r="L1354" t="s">
        <v>30</v>
      </c>
      <c r="M1354" t="b">
        <v>1</v>
      </c>
      <c r="N1354" t="s">
        <v>1297</v>
      </c>
      <c r="Q1354" t="b">
        <v>0</v>
      </c>
      <c r="S1354" t="str">
        <f>"9780310728924"</f>
        <v>9780310728924</v>
      </c>
      <c r="T1354" t="str">
        <f>"9780310728948"</f>
        <v>9780310728948</v>
      </c>
      <c r="U1354" t="b">
        <v>0</v>
      </c>
      <c r="W1354" t="b">
        <v>0</v>
      </c>
    </row>
    <row r="1355" spans="1:23" x14ac:dyDescent="0.3">
      <c r="A1355">
        <v>2981877</v>
      </c>
      <c r="B1355">
        <v>44.82</v>
      </c>
      <c r="C1355" t="s">
        <v>2977</v>
      </c>
      <c r="D1355" t="s">
        <v>2978</v>
      </c>
      <c r="E1355" t="s">
        <v>23</v>
      </c>
      <c r="F1355" t="s">
        <v>44</v>
      </c>
      <c r="G1355">
        <v>2010</v>
      </c>
      <c r="H1355" t="s">
        <v>132</v>
      </c>
      <c r="K1355" t="s">
        <v>25</v>
      </c>
      <c r="L1355" t="s">
        <v>30</v>
      </c>
      <c r="M1355" t="b">
        <v>1</v>
      </c>
      <c r="N1355" t="s">
        <v>2979</v>
      </c>
      <c r="P1355" t="s">
        <v>2980</v>
      </c>
      <c r="Q1355" t="b">
        <v>0</v>
      </c>
      <c r="S1355" t="str">
        <f>"9780310322030"</f>
        <v>9780310322030</v>
      </c>
      <c r="T1355" t="str">
        <f>"9780310589990"</f>
        <v>9780310589990</v>
      </c>
      <c r="U1355" t="b">
        <v>0</v>
      </c>
      <c r="W1355" t="b">
        <v>0</v>
      </c>
    </row>
    <row r="1356" spans="1:23" x14ac:dyDescent="0.3">
      <c r="A1356">
        <v>2981876</v>
      </c>
      <c r="B1356">
        <v>39.049999999999997</v>
      </c>
      <c r="C1356" t="s">
        <v>2981</v>
      </c>
      <c r="D1356" t="s">
        <v>2982</v>
      </c>
      <c r="E1356" t="s">
        <v>23</v>
      </c>
      <c r="F1356" t="s">
        <v>44</v>
      </c>
      <c r="G1356">
        <v>2010</v>
      </c>
      <c r="H1356" t="s">
        <v>2079</v>
      </c>
      <c r="K1356" t="s">
        <v>25</v>
      </c>
      <c r="L1356" t="s">
        <v>30</v>
      </c>
      <c r="M1356" t="b">
        <v>1</v>
      </c>
      <c r="N1356" t="s">
        <v>2983</v>
      </c>
      <c r="Q1356" t="b">
        <v>0</v>
      </c>
      <c r="T1356" t="str">
        <f>"9780310410614"</f>
        <v>9780310410614</v>
      </c>
      <c r="U1356" t="b">
        <v>0</v>
      </c>
      <c r="W1356" t="b">
        <v>0</v>
      </c>
    </row>
    <row r="1357" spans="1:23" x14ac:dyDescent="0.3">
      <c r="A1357">
        <v>2981875</v>
      </c>
      <c r="B1357">
        <v>55.17</v>
      </c>
      <c r="C1357" t="s">
        <v>2984</v>
      </c>
      <c r="D1357" t="s">
        <v>2985</v>
      </c>
      <c r="E1357" t="s">
        <v>23</v>
      </c>
      <c r="F1357" t="s">
        <v>44</v>
      </c>
      <c r="G1357">
        <v>2009</v>
      </c>
      <c r="H1357" t="s">
        <v>2986</v>
      </c>
      <c r="K1357" t="s">
        <v>25</v>
      </c>
      <c r="L1357" t="s">
        <v>30</v>
      </c>
      <c r="M1357" t="b">
        <v>1</v>
      </c>
      <c r="N1357" t="s">
        <v>112</v>
      </c>
      <c r="Q1357" t="b">
        <v>0</v>
      </c>
      <c r="S1357" t="str">
        <f>"9780310287308"</f>
        <v>9780310287308</v>
      </c>
      <c r="T1357" t="str">
        <f>"9780310560296"</f>
        <v>9780310560296</v>
      </c>
      <c r="U1357" t="b">
        <v>0</v>
      </c>
      <c r="W1357" t="b">
        <v>0</v>
      </c>
    </row>
    <row r="1358" spans="1:23" x14ac:dyDescent="0.3">
      <c r="A1358">
        <v>2981874</v>
      </c>
      <c r="B1358">
        <v>34.47</v>
      </c>
      <c r="C1358" t="s">
        <v>2987</v>
      </c>
      <c r="E1358" t="s">
        <v>23</v>
      </c>
      <c r="F1358" t="s">
        <v>44</v>
      </c>
      <c r="G1358">
        <v>2010</v>
      </c>
      <c r="H1358" t="s">
        <v>2894</v>
      </c>
      <c r="K1358" t="s">
        <v>25</v>
      </c>
      <c r="L1358" t="s">
        <v>30</v>
      </c>
      <c r="M1358" t="b">
        <v>1</v>
      </c>
      <c r="N1358" t="s">
        <v>2988</v>
      </c>
      <c r="P1358" t="s">
        <v>2989</v>
      </c>
      <c r="Q1358" t="b">
        <v>0</v>
      </c>
      <c r="S1358" t="str">
        <f>"9780310714330"</f>
        <v>9780310714330</v>
      </c>
      <c r="T1358" t="str">
        <f>"9780310404859"</f>
        <v>9780310404859</v>
      </c>
      <c r="U1358" t="b">
        <v>0</v>
      </c>
      <c r="W1358" t="b">
        <v>0</v>
      </c>
    </row>
    <row r="1359" spans="1:23" x14ac:dyDescent="0.3">
      <c r="A1359">
        <v>2981873</v>
      </c>
      <c r="B1359">
        <v>56.82</v>
      </c>
      <c r="C1359" t="s">
        <v>2990</v>
      </c>
      <c r="E1359" t="s">
        <v>23</v>
      </c>
      <c r="F1359" t="s">
        <v>44</v>
      </c>
      <c r="G1359">
        <v>2009</v>
      </c>
      <c r="H1359" t="s">
        <v>912</v>
      </c>
      <c r="K1359" t="s">
        <v>25</v>
      </c>
      <c r="L1359" t="s">
        <v>30</v>
      </c>
      <c r="M1359" t="b">
        <v>1</v>
      </c>
      <c r="N1359" t="s">
        <v>2991</v>
      </c>
      <c r="Q1359" t="b">
        <v>0</v>
      </c>
      <c r="T1359" t="str">
        <f>"9780310539759"</f>
        <v>9780310539759</v>
      </c>
      <c r="U1359" t="b">
        <v>0</v>
      </c>
      <c r="W1359" t="b">
        <v>0</v>
      </c>
    </row>
    <row r="1360" spans="1:23" x14ac:dyDescent="0.3">
      <c r="A1360">
        <v>2981872</v>
      </c>
      <c r="B1360">
        <v>51.72</v>
      </c>
      <c r="C1360" t="s">
        <v>2992</v>
      </c>
      <c r="D1360" t="s">
        <v>2993</v>
      </c>
      <c r="E1360" t="s">
        <v>23</v>
      </c>
      <c r="F1360" t="s">
        <v>44</v>
      </c>
      <c r="G1360">
        <v>2009</v>
      </c>
      <c r="H1360" t="s">
        <v>62</v>
      </c>
      <c r="K1360" t="s">
        <v>25</v>
      </c>
      <c r="L1360" t="s">
        <v>30</v>
      </c>
      <c r="M1360" t="b">
        <v>1</v>
      </c>
      <c r="N1360" t="s">
        <v>2742</v>
      </c>
      <c r="Q1360" t="b">
        <v>0</v>
      </c>
      <c r="S1360" t="str">
        <f>"9780310266341"</f>
        <v>9780310266341</v>
      </c>
      <c r="T1360" t="str">
        <f>"9780310861232"</f>
        <v>9780310861232</v>
      </c>
      <c r="U1360" t="b">
        <v>0</v>
      </c>
      <c r="W1360" t="b">
        <v>0</v>
      </c>
    </row>
    <row r="1361" spans="1:23" x14ac:dyDescent="0.3">
      <c r="A1361">
        <v>2981871</v>
      </c>
      <c r="B1361">
        <v>37.92</v>
      </c>
      <c r="C1361" t="s">
        <v>2994</v>
      </c>
      <c r="D1361" t="s">
        <v>2845</v>
      </c>
      <c r="E1361" t="s">
        <v>23</v>
      </c>
      <c r="F1361" t="s">
        <v>44</v>
      </c>
      <c r="G1361">
        <v>2019</v>
      </c>
      <c r="H1361" t="s">
        <v>69</v>
      </c>
      <c r="K1361" t="s">
        <v>25</v>
      </c>
      <c r="L1361" t="s">
        <v>26</v>
      </c>
      <c r="M1361" t="b">
        <v>1</v>
      </c>
      <c r="N1361" t="s">
        <v>2846</v>
      </c>
      <c r="Q1361" t="b">
        <v>0</v>
      </c>
      <c r="S1361" t="str">
        <f>"9780310359227"</f>
        <v>9780310359227</v>
      </c>
      <c r="T1361" t="str">
        <f>"9780310354260"</f>
        <v>9780310354260</v>
      </c>
      <c r="U1361" t="b">
        <v>0</v>
      </c>
      <c r="W1361" t="b">
        <v>0</v>
      </c>
    </row>
    <row r="1362" spans="1:23" x14ac:dyDescent="0.3">
      <c r="A1362">
        <v>2981870</v>
      </c>
      <c r="B1362">
        <v>46.16</v>
      </c>
      <c r="C1362" t="s">
        <v>2995</v>
      </c>
      <c r="D1362" t="s">
        <v>2996</v>
      </c>
      <c r="E1362" t="s">
        <v>23</v>
      </c>
      <c r="F1362" t="s">
        <v>44</v>
      </c>
      <c r="G1362">
        <v>2016</v>
      </c>
      <c r="H1362" t="s">
        <v>107</v>
      </c>
      <c r="K1362" t="s">
        <v>25</v>
      </c>
      <c r="L1362" t="s">
        <v>26</v>
      </c>
      <c r="M1362" t="b">
        <v>1</v>
      </c>
      <c r="N1362" t="s">
        <v>915</v>
      </c>
      <c r="P1362" t="s">
        <v>978</v>
      </c>
      <c r="Q1362" t="b">
        <v>0</v>
      </c>
      <c r="T1362" t="str">
        <f>"9780310344698"</f>
        <v>9780310344698</v>
      </c>
      <c r="U1362" t="b">
        <v>0</v>
      </c>
      <c r="W1362" t="b">
        <v>0</v>
      </c>
    </row>
    <row r="1363" spans="1:23" x14ac:dyDescent="0.3">
      <c r="A1363">
        <v>2981869</v>
      </c>
      <c r="B1363">
        <v>14.18</v>
      </c>
      <c r="C1363" t="s">
        <v>2997</v>
      </c>
      <c r="D1363" t="s">
        <v>2998</v>
      </c>
      <c r="E1363" t="s">
        <v>23</v>
      </c>
      <c r="F1363" t="s">
        <v>44</v>
      </c>
      <c r="G1363">
        <v>2015</v>
      </c>
      <c r="H1363" t="s">
        <v>728</v>
      </c>
      <c r="K1363" t="s">
        <v>25</v>
      </c>
      <c r="L1363" t="s">
        <v>30</v>
      </c>
      <c r="M1363" t="b">
        <v>1</v>
      </c>
      <c r="N1363" t="s">
        <v>741</v>
      </c>
      <c r="P1363" t="s">
        <v>2785</v>
      </c>
      <c r="Q1363" t="b">
        <v>1</v>
      </c>
      <c r="T1363" t="str">
        <f>"9780310396031"</f>
        <v>9780310396031</v>
      </c>
      <c r="U1363" t="b">
        <v>0</v>
      </c>
      <c r="W1363" t="b">
        <v>0</v>
      </c>
    </row>
    <row r="1364" spans="1:23" x14ac:dyDescent="0.3">
      <c r="A1364">
        <v>2981868</v>
      </c>
      <c r="B1364">
        <v>17.73</v>
      </c>
      <c r="C1364" t="s">
        <v>2999</v>
      </c>
      <c r="E1364" t="s">
        <v>23</v>
      </c>
      <c r="F1364" t="s">
        <v>44</v>
      </c>
      <c r="G1364">
        <v>2009</v>
      </c>
      <c r="H1364" t="s">
        <v>56</v>
      </c>
      <c r="K1364" t="s">
        <v>25</v>
      </c>
      <c r="L1364" t="s">
        <v>30</v>
      </c>
      <c r="M1364" t="b">
        <v>1</v>
      </c>
      <c r="N1364" t="s">
        <v>3000</v>
      </c>
      <c r="Q1364" t="b">
        <v>0</v>
      </c>
      <c r="T1364" t="str">
        <f>"9780310543251"</f>
        <v>9780310543251</v>
      </c>
      <c r="U1364" t="b">
        <v>0</v>
      </c>
      <c r="W1364" t="b">
        <v>0</v>
      </c>
    </row>
    <row r="1365" spans="1:23" x14ac:dyDescent="0.3">
      <c r="A1365">
        <v>2981866</v>
      </c>
      <c r="B1365">
        <v>55.17</v>
      </c>
      <c r="C1365" t="s">
        <v>3001</v>
      </c>
      <c r="E1365" t="s">
        <v>23</v>
      </c>
      <c r="F1365" t="s">
        <v>44</v>
      </c>
      <c r="G1365">
        <v>2009</v>
      </c>
      <c r="H1365" t="s">
        <v>66</v>
      </c>
      <c r="K1365" t="s">
        <v>25</v>
      </c>
      <c r="L1365" t="s">
        <v>30</v>
      </c>
      <c r="M1365" t="b">
        <v>1</v>
      </c>
      <c r="N1365" t="s">
        <v>2865</v>
      </c>
      <c r="Q1365" t="b">
        <v>1</v>
      </c>
      <c r="S1365" t="str">
        <f>"9780310272144"</f>
        <v>9780310272144</v>
      </c>
      <c r="T1365" t="str">
        <f>"9780310316527"</f>
        <v>9780310316527</v>
      </c>
      <c r="U1365" t="b">
        <v>0</v>
      </c>
      <c r="W1365" t="b">
        <v>0</v>
      </c>
    </row>
    <row r="1366" spans="1:23" x14ac:dyDescent="0.3">
      <c r="A1366">
        <v>2981865</v>
      </c>
      <c r="B1366">
        <v>88.8</v>
      </c>
      <c r="C1366" t="s">
        <v>3002</v>
      </c>
      <c r="D1366" t="s">
        <v>3003</v>
      </c>
      <c r="E1366" t="s">
        <v>23</v>
      </c>
      <c r="F1366" t="s">
        <v>44</v>
      </c>
      <c r="G1366">
        <v>2020</v>
      </c>
      <c r="H1366" t="s">
        <v>772</v>
      </c>
      <c r="K1366" t="s">
        <v>25</v>
      </c>
      <c r="L1366" t="s">
        <v>30</v>
      </c>
      <c r="M1366" t="b">
        <v>1</v>
      </c>
      <c r="N1366" t="s">
        <v>742</v>
      </c>
      <c r="Q1366" t="b">
        <v>1</v>
      </c>
      <c r="T1366" t="str">
        <f>"9780310362302"</f>
        <v>9780310362302</v>
      </c>
      <c r="U1366" t="b">
        <v>0</v>
      </c>
      <c r="W1366" t="b">
        <v>0</v>
      </c>
    </row>
    <row r="1367" spans="1:23" x14ac:dyDescent="0.3">
      <c r="A1367">
        <v>2981864</v>
      </c>
      <c r="B1367">
        <v>31.95</v>
      </c>
      <c r="C1367" t="s">
        <v>3004</v>
      </c>
      <c r="E1367" t="s">
        <v>23</v>
      </c>
      <c r="F1367" t="s">
        <v>44</v>
      </c>
      <c r="G1367">
        <v>2009</v>
      </c>
      <c r="H1367" t="s">
        <v>99</v>
      </c>
      <c r="K1367" t="s">
        <v>25</v>
      </c>
      <c r="L1367" t="s">
        <v>30</v>
      </c>
      <c r="M1367" t="b">
        <v>1</v>
      </c>
      <c r="N1367" t="s">
        <v>2216</v>
      </c>
      <c r="Q1367" t="b">
        <v>0</v>
      </c>
      <c r="T1367" t="str">
        <f>"9780310867913"</f>
        <v>9780310867913</v>
      </c>
      <c r="U1367" t="b">
        <v>0</v>
      </c>
      <c r="W1367" t="b">
        <v>0</v>
      </c>
    </row>
    <row r="1368" spans="1:23" x14ac:dyDescent="0.3">
      <c r="A1368">
        <v>2981863</v>
      </c>
      <c r="B1368">
        <v>49.71</v>
      </c>
      <c r="C1368" t="s">
        <v>3005</v>
      </c>
      <c r="D1368" t="s">
        <v>3006</v>
      </c>
      <c r="E1368" t="s">
        <v>23</v>
      </c>
      <c r="F1368" t="s">
        <v>44</v>
      </c>
      <c r="G1368">
        <v>2010</v>
      </c>
      <c r="H1368" t="s">
        <v>132</v>
      </c>
      <c r="K1368" t="s">
        <v>25</v>
      </c>
      <c r="L1368" t="s">
        <v>30</v>
      </c>
      <c r="M1368" t="b">
        <v>1</v>
      </c>
      <c r="N1368" t="s">
        <v>3007</v>
      </c>
      <c r="Q1368" t="b">
        <v>0</v>
      </c>
      <c r="T1368" t="str">
        <f>"9780310591849"</f>
        <v>9780310591849</v>
      </c>
      <c r="U1368" t="b">
        <v>0</v>
      </c>
      <c r="W1368" t="b">
        <v>0</v>
      </c>
    </row>
    <row r="1369" spans="1:23" x14ac:dyDescent="0.3">
      <c r="A1369">
        <v>2981862</v>
      </c>
      <c r="B1369">
        <v>14.18</v>
      </c>
      <c r="C1369" t="s">
        <v>3008</v>
      </c>
      <c r="E1369" t="s">
        <v>23</v>
      </c>
      <c r="F1369" t="s">
        <v>44</v>
      </c>
      <c r="G1369">
        <v>2013</v>
      </c>
      <c r="H1369" t="s">
        <v>1212</v>
      </c>
      <c r="K1369" t="s">
        <v>25</v>
      </c>
      <c r="L1369" t="s">
        <v>26</v>
      </c>
      <c r="M1369" t="b">
        <v>1</v>
      </c>
      <c r="N1369" t="s">
        <v>729</v>
      </c>
      <c r="P1369" t="s">
        <v>2785</v>
      </c>
      <c r="Q1369" t="b">
        <v>1</v>
      </c>
      <c r="T1369" t="str">
        <f>"9780310338741"</f>
        <v>9780310338741</v>
      </c>
      <c r="U1369" t="b">
        <v>0</v>
      </c>
      <c r="W1369" t="b">
        <v>0</v>
      </c>
    </row>
    <row r="1370" spans="1:23" x14ac:dyDescent="0.3">
      <c r="A1370">
        <v>2981860</v>
      </c>
      <c r="B1370">
        <v>71.03</v>
      </c>
      <c r="C1370" t="s">
        <v>3009</v>
      </c>
      <c r="D1370" t="s">
        <v>2982</v>
      </c>
      <c r="E1370" t="s">
        <v>23</v>
      </c>
      <c r="F1370" t="s">
        <v>44</v>
      </c>
      <c r="G1370">
        <v>2009</v>
      </c>
      <c r="H1370" t="s">
        <v>58</v>
      </c>
      <c r="K1370" t="s">
        <v>25</v>
      </c>
      <c r="L1370" t="s">
        <v>26</v>
      </c>
      <c r="M1370" t="b">
        <v>1</v>
      </c>
      <c r="N1370" t="s">
        <v>2616</v>
      </c>
      <c r="Q1370" t="b">
        <v>0</v>
      </c>
      <c r="T1370" t="str">
        <f>"9780310572046"</f>
        <v>9780310572046</v>
      </c>
      <c r="U1370" t="b">
        <v>0</v>
      </c>
      <c r="W1370" t="b">
        <v>0</v>
      </c>
    </row>
    <row r="1371" spans="1:23" x14ac:dyDescent="0.3">
      <c r="A1371">
        <v>2981839</v>
      </c>
      <c r="B1371">
        <v>44.82</v>
      </c>
      <c r="C1371" t="s">
        <v>3010</v>
      </c>
      <c r="E1371" t="s">
        <v>23</v>
      </c>
      <c r="F1371" t="s">
        <v>44</v>
      </c>
      <c r="G1371">
        <v>2014</v>
      </c>
      <c r="H1371" t="s">
        <v>3011</v>
      </c>
      <c r="K1371" t="s">
        <v>25</v>
      </c>
      <c r="L1371" t="s">
        <v>30</v>
      </c>
      <c r="M1371" t="b">
        <v>1</v>
      </c>
      <c r="N1371" t="s">
        <v>3012</v>
      </c>
      <c r="Q1371" t="b">
        <v>0</v>
      </c>
      <c r="S1371" t="str">
        <f>"9780310744696"</f>
        <v>9780310744696</v>
      </c>
      <c r="T1371" t="str">
        <f>"9780310745198"</f>
        <v>9780310745198</v>
      </c>
      <c r="U1371" t="b">
        <v>0</v>
      </c>
      <c r="W1371" t="b">
        <v>0</v>
      </c>
    </row>
    <row r="1372" spans="1:23" x14ac:dyDescent="0.3">
      <c r="A1372">
        <v>2981838</v>
      </c>
      <c r="B1372">
        <v>68.97</v>
      </c>
      <c r="C1372" t="s">
        <v>3013</v>
      </c>
      <c r="D1372" t="s">
        <v>3014</v>
      </c>
      <c r="E1372" t="s">
        <v>23</v>
      </c>
      <c r="F1372" t="s">
        <v>44</v>
      </c>
      <c r="G1372">
        <v>2018</v>
      </c>
      <c r="H1372" t="s">
        <v>58</v>
      </c>
      <c r="K1372" t="s">
        <v>25</v>
      </c>
      <c r="L1372" t="s">
        <v>26</v>
      </c>
      <c r="M1372" t="b">
        <v>1</v>
      </c>
      <c r="N1372" t="s">
        <v>915</v>
      </c>
      <c r="Q1372" t="b">
        <v>0</v>
      </c>
      <c r="S1372" t="str">
        <f>"9780310359470"</f>
        <v>9780310359470</v>
      </c>
      <c r="T1372" t="str">
        <f>"9780310343349"</f>
        <v>9780310343349</v>
      </c>
      <c r="U1372" t="b">
        <v>0</v>
      </c>
      <c r="W1372" t="b">
        <v>0</v>
      </c>
    </row>
    <row r="1373" spans="1:23" x14ac:dyDescent="0.3">
      <c r="A1373">
        <v>2981837</v>
      </c>
      <c r="B1373">
        <v>46.16</v>
      </c>
      <c r="C1373" t="s">
        <v>3015</v>
      </c>
      <c r="E1373" t="s">
        <v>23</v>
      </c>
      <c r="F1373" t="s">
        <v>44</v>
      </c>
      <c r="G1373">
        <v>2009</v>
      </c>
      <c r="H1373" t="s">
        <v>58</v>
      </c>
      <c r="K1373" t="s">
        <v>25</v>
      </c>
      <c r="L1373" t="s">
        <v>30</v>
      </c>
      <c r="M1373" t="b">
        <v>1</v>
      </c>
      <c r="N1373" t="s">
        <v>554</v>
      </c>
      <c r="Q1373" t="b">
        <v>0</v>
      </c>
      <c r="T1373" t="str">
        <f>"9780310313090"</f>
        <v>9780310313090</v>
      </c>
      <c r="U1373" t="b">
        <v>0</v>
      </c>
      <c r="W1373" t="b">
        <v>0</v>
      </c>
    </row>
    <row r="1374" spans="1:23" x14ac:dyDescent="0.3">
      <c r="A1374">
        <v>2981836</v>
      </c>
      <c r="B1374">
        <v>55.17</v>
      </c>
      <c r="C1374" t="s">
        <v>3016</v>
      </c>
      <c r="E1374" t="s">
        <v>23</v>
      </c>
      <c r="F1374" t="s">
        <v>44</v>
      </c>
      <c r="G1374">
        <v>2009</v>
      </c>
      <c r="H1374" t="s">
        <v>66</v>
      </c>
      <c r="K1374" t="s">
        <v>25</v>
      </c>
      <c r="L1374" t="s">
        <v>30</v>
      </c>
      <c r="M1374" t="b">
        <v>1</v>
      </c>
      <c r="N1374" t="s">
        <v>77</v>
      </c>
      <c r="Q1374" t="b">
        <v>1</v>
      </c>
      <c r="S1374" t="str">
        <f>"9780310250630"</f>
        <v>9780310250630</v>
      </c>
      <c r="T1374" t="str">
        <f>"9780310313076"</f>
        <v>9780310313076</v>
      </c>
      <c r="U1374" t="b">
        <v>0</v>
      </c>
      <c r="W1374" t="b">
        <v>0</v>
      </c>
    </row>
    <row r="1375" spans="1:23" x14ac:dyDescent="0.3">
      <c r="A1375">
        <v>2981835</v>
      </c>
      <c r="B1375">
        <v>86.22</v>
      </c>
      <c r="C1375" t="s">
        <v>3017</v>
      </c>
      <c r="D1375" t="s">
        <v>3018</v>
      </c>
      <c r="E1375" t="s">
        <v>23</v>
      </c>
      <c r="F1375" t="s">
        <v>44</v>
      </c>
      <c r="G1375">
        <v>2014</v>
      </c>
      <c r="H1375" t="s">
        <v>58</v>
      </c>
      <c r="K1375" t="s">
        <v>25</v>
      </c>
      <c r="L1375" t="s">
        <v>30</v>
      </c>
      <c r="M1375" t="b">
        <v>1</v>
      </c>
      <c r="N1375" t="s">
        <v>2616</v>
      </c>
      <c r="Q1375" t="b">
        <v>0</v>
      </c>
      <c r="S1375" t="str">
        <f>"9780310275961"</f>
        <v>9780310275961</v>
      </c>
      <c r="T1375" t="str">
        <f>"9780310413462"</f>
        <v>9780310413462</v>
      </c>
      <c r="U1375" t="b">
        <v>0</v>
      </c>
      <c r="W1375" t="b">
        <v>0</v>
      </c>
    </row>
    <row r="1376" spans="1:23" x14ac:dyDescent="0.3">
      <c r="A1376">
        <v>2981834</v>
      </c>
      <c r="B1376">
        <v>68.97</v>
      </c>
      <c r="C1376" t="s">
        <v>3019</v>
      </c>
      <c r="D1376" t="s">
        <v>3020</v>
      </c>
      <c r="E1376" t="s">
        <v>23</v>
      </c>
      <c r="F1376" t="s">
        <v>44</v>
      </c>
      <c r="G1376">
        <v>2021</v>
      </c>
      <c r="H1376" t="s">
        <v>1080</v>
      </c>
      <c r="I1376" t="s">
        <v>3021</v>
      </c>
      <c r="J1376" t="s">
        <v>3022</v>
      </c>
      <c r="K1376" t="s">
        <v>25</v>
      </c>
      <c r="L1376" t="s">
        <v>26</v>
      </c>
      <c r="M1376" t="b">
        <v>1</v>
      </c>
      <c r="N1376" t="s">
        <v>2922</v>
      </c>
      <c r="O1376" t="str">
        <f>"649/.125"</f>
        <v>649/.125</v>
      </c>
      <c r="Q1376" t="b">
        <v>0</v>
      </c>
      <c r="S1376" t="str">
        <f>"9780310270454"</f>
        <v>9780310270454</v>
      </c>
      <c r="T1376" t="str">
        <f>"9780310565673"</f>
        <v>9780310565673</v>
      </c>
      <c r="U1376" t="b">
        <v>0</v>
      </c>
      <c r="W1376" t="b">
        <v>0</v>
      </c>
    </row>
    <row r="1377" spans="1:23" x14ac:dyDescent="0.3">
      <c r="A1377">
        <v>2981833</v>
      </c>
      <c r="B1377">
        <v>35.5</v>
      </c>
      <c r="C1377" t="s">
        <v>3023</v>
      </c>
      <c r="D1377" t="s">
        <v>3024</v>
      </c>
      <c r="E1377" t="s">
        <v>23</v>
      </c>
      <c r="F1377" t="s">
        <v>44</v>
      </c>
      <c r="G1377">
        <v>2009</v>
      </c>
      <c r="H1377" t="s">
        <v>132</v>
      </c>
      <c r="K1377" t="s">
        <v>25</v>
      </c>
      <c r="L1377" t="s">
        <v>30</v>
      </c>
      <c r="M1377" t="b">
        <v>1</v>
      </c>
      <c r="N1377" t="s">
        <v>3025</v>
      </c>
      <c r="Q1377" t="b">
        <v>0</v>
      </c>
      <c r="T1377" t="str">
        <f>"9780310542339"</f>
        <v>9780310542339</v>
      </c>
      <c r="U1377" t="b">
        <v>0</v>
      </c>
      <c r="W1377" t="b">
        <v>0</v>
      </c>
    </row>
    <row r="1378" spans="1:23" x14ac:dyDescent="0.3">
      <c r="A1378">
        <v>2981832</v>
      </c>
      <c r="B1378">
        <v>14.18</v>
      </c>
      <c r="C1378" t="s">
        <v>3026</v>
      </c>
      <c r="D1378" t="s">
        <v>3027</v>
      </c>
      <c r="E1378" t="s">
        <v>23</v>
      </c>
      <c r="F1378" t="s">
        <v>44</v>
      </c>
      <c r="G1378">
        <v>2019</v>
      </c>
      <c r="H1378" t="s">
        <v>772</v>
      </c>
      <c r="K1378" t="s">
        <v>25</v>
      </c>
      <c r="L1378" t="s">
        <v>30</v>
      </c>
      <c r="M1378" t="b">
        <v>1</v>
      </c>
      <c r="N1378" t="s">
        <v>773</v>
      </c>
      <c r="Q1378" t="b">
        <v>1</v>
      </c>
      <c r="T1378" t="str">
        <f>"9780310352853"</f>
        <v>9780310352853</v>
      </c>
      <c r="U1378" t="b">
        <v>0</v>
      </c>
      <c r="W1378" t="b">
        <v>0</v>
      </c>
    </row>
    <row r="1379" spans="1:23" x14ac:dyDescent="0.3">
      <c r="A1379">
        <v>2981831</v>
      </c>
      <c r="B1379">
        <v>58.62</v>
      </c>
      <c r="C1379" t="s">
        <v>3028</v>
      </c>
      <c r="D1379" t="s">
        <v>3029</v>
      </c>
      <c r="E1379" t="s">
        <v>23</v>
      </c>
      <c r="F1379" t="s">
        <v>44</v>
      </c>
      <c r="G1379">
        <v>2016</v>
      </c>
      <c r="H1379" t="s">
        <v>912</v>
      </c>
      <c r="K1379" t="s">
        <v>25</v>
      </c>
      <c r="L1379" t="s">
        <v>26</v>
      </c>
      <c r="M1379" t="b">
        <v>1</v>
      </c>
      <c r="N1379" t="s">
        <v>44</v>
      </c>
      <c r="Q1379" t="b">
        <v>0</v>
      </c>
      <c r="S1379" t="str">
        <f>"9780310343660"</f>
        <v>9780310343660</v>
      </c>
      <c r="T1379" t="str">
        <f>"9780310343691"</f>
        <v>9780310343691</v>
      </c>
      <c r="U1379" t="b">
        <v>0</v>
      </c>
      <c r="W1379" t="b">
        <v>0</v>
      </c>
    </row>
    <row r="1380" spans="1:23" x14ac:dyDescent="0.3">
      <c r="A1380">
        <v>2981830</v>
      </c>
      <c r="B1380">
        <v>46.16</v>
      </c>
      <c r="C1380" t="s">
        <v>3030</v>
      </c>
      <c r="D1380" t="s">
        <v>3031</v>
      </c>
      <c r="E1380" t="s">
        <v>23</v>
      </c>
      <c r="F1380" t="s">
        <v>44</v>
      </c>
      <c r="G1380">
        <v>2009</v>
      </c>
      <c r="H1380" t="s">
        <v>132</v>
      </c>
      <c r="K1380" t="s">
        <v>25</v>
      </c>
      <c r="L1380" t="s">
        <v>26</v>
      </c>
      <c r="M1380" t="b">
        <v>1</v>
      </c>
      <c r="N1380" t="s">
        <v>2807</v>
      </c>
      <c r="Q1380" t="b">
        <v>0</v>
      </c>
      <c r="T1380" t="str">
        <f>"9780310859765"</f>
        <v>9780310859765</v>
      </c>
      <c r="U1380" t="b">
        <v>0</v>
      </c>
      <c r="W1380" t="b">
        <v>0</v>
      </c>
    </row>
    <row r="1381" spans="1:23" x14ac:dyDescent="0.3">
      <c r="A1381">
        <v>2981829</v>
      </c>
      <c r="B1381">
        <v>42.61</v>
      </c>
      <c r="C1381" t="s">
        <v>3032</v>
      </c>
      <c r="D1381" t="s">
        <v>3033</v>
      </c>
      <c r="E1381" t="s">
        <v>23</v>
      </c>
      <c r="F1381" t="s">
        <v>44</v>
      </c>
      <c r="G1381">
        <v>2009</v>
      </c>
      <c r="H1381" t="s">
        <v>58</v>
      </c>
      <c r="I1381" t="s">
        <v>3034</v>
      </c>
      <c r="J1381" t="s">
        <v>895</v>
      </c>
      <c r="K1381" t="s">
        <v>25</v>
      </c>
      <c r="L1381" t="s">
        <v>26</v>
      </c>
      <c r="M1381" t="b">
        <v>1</v>
      </c>
      <c r="N1381" t="s">
        <v>2616</v>
      </c>
      <c r="O1381" t="str">
        <f>"248.4"</f>
        <v>248.4</v>
      </c>
      <c r="Q1381" t="b">
        <v>0</v>
      </c>
      <c r="S1381" t="str">
        <f>"9780310246954"</f>
        <v>9780310246954</v>
      </c>
      <c r="T1381" t="str">
        <f>"9780310565895"</f>
        <v>9780310565895</v>
      </c>
      <c r="U1381" t="b">
        <v>0</v>
      </c>
      <c r="W1381" t="b">
        <v>0</v>
      </c>
    </row>
    <row r="1382" spans="1:23" x14ac:dyDescent="0.3">
      <c r="A1382">
        <v>2981828</v>
      </c>
      <c r="B1382">
        <v>27.57</v>
      </c>
      <c r="C1382" t="s">
        <v>3035</v>
      </c>
      <c r="E1382" t="s">
        <v>23</v>
      </c>
      <c r="F1382" t="s">
        <v>44</v>
      </c>
      <c r="G1382">
        <v>2014</v>
      </c>
      <c r="H1382" t="s">
        <v>728</v>
      </c>
      <c r="K1382" t="s">
        <v>25</v>
      </c>
      <c r="L1382" t="s">
        <v>30</v>
      </c>
      <c r="M1382" t="b">
        <v>1</v>
      </c>
      <c r="N1382" t="s">
        <v>776</v>
      </c>
      <c r="P1382" t="s">
        <v>3036</v>
      </c>
      <c r="Q1382" t="b">
        <v>1</v>
      </c>
      <c r="S1382" t="str">
        <f>"9780310350729"</f>
        <v>9780310350729</v>
      </c>
      <c r="T1382" t="str">
        <f>"9780310335825"</f>
        <v>9780310335825</v>
      </c>
      <c r="U1382" t="b">
        <v>0</v>
      </c>
      <c r="W1382" t="b">
        <v>0</v>
      </c>
    </row>
    <row r="1383" spans="1:23" x14ac:dyDescent="0.3">
      <c r="A1383">
        <v>2981827</v>
      </c>
      <c r="B1383">
        <v>44.82</v>
      </c>
      <c r="C1383" t="s">
        <v>3037</v>
      </c>
      <c r="E1383" t="s">
        <v>23</v>
      </c>
      <c r="F1383" t="s">
        <v>44</v>
      </c>
      <c r="G1383">
        <v>2009</v>
      </c>
      <c r="H1383" t="s">
        <v>2535</v>
      </c>
      <c r="K1383" t="s">
        <v>25</v>
      </c>
      <c r="L1383" t="s">
        <v>30</v>
      </c>
      <c r="M1383" t="b">
        <v>1</v>
      </c>
      <c r="N1383" t="s">
        <v>2726</v>
      </c>
      <c r="P1383" t="s">
        <v>2874</v>
      </c>
      <c r="Q1383" t="b">
        <v>1</v>
      </c>
      <c r="S1383" t="str">
        <f>"9780310252344"</f>
        <v>9780310252344</v>
      </c>
      <c r="T1383" t="str">
        <f>"9780310540342"</f>
        <v>9780310540342</v>
      </c>
      <c r="U1383" t="b">
        <v>0</v>
      </c>
      <c r="W1383" t="b">
        <v>0</v>
      </c>
    </row>
    <row r="1384" spans="1:23" x14ac:dyDescent="0.3">
      <c r="A1384">
        <v>2981826</v>
      </c>
      <c r="B1384">
        <v>46.16</v>
      </c>
      <c r="C1384" t="s">
        <v>3038</v>
      </c>
      <c r="D1384" t="s">
        <v>3039</v>
      </c>
      <c r="E1384" t="s">
        <v>23</v>
      </c>
      <c r="F1384" t="s">
        <v>44</v>
      </c>
      <c r="G1384">
        <v>2008</v>
      </c>
      <c r="H1384" t="s">
        <v>132</v>
      </c>
      <c r="K1384" t="s">
        <v>25</v>
      </c>
      <c r="L1384" t="s">
        <v>30</v>
      </c>
      <c r="M1384" t="b">
        <v>1</v>
      </c>
      <c r="N1384" t="s">
        <v>3040</v>
      </c>
      <c r="Q1384" t="b">
        <v>0</v>
      </c>
      <c r="T1384" t="str">
        <f>"9780310309130"</f>
        <v>9780310309130</v>
      </c>
      <c r="U1384" t="b">
        <v>0</v>
      </c>
      <c r="W1384" t="b">
        <v>0</v>
      </c>
    </row>
    <row r="1385" spans="1:23" x14ac:dyDescent="0.3">
      <c r="A1385">
        <v>2981824</v>
      </c>
      <c r="B1385">
        <v>58.62</v>
      </c>
      <c r="C1385" t="s">
        <v>3041</v>
      </c>
      <c r="D1385" t="s">
        <v>3042</v>
      </c>
      <c r="E1385" t="s">
        <v>23</v>
      </c>
      <c r="F1385" t="s">
        <v>44</v>
      </c>
      <c r="G1385">
        <v>2010</v>
      </c>
      <c r="H1385" t="s">
        <v>69</v>
      </c>
      <c r="K1385" t="s">
        <v>25</v>
      </c>
      <c r="L1385" t="s">
        <v>30</v>
      </c>
      <c r="M1385" t="b">
        <v>1</v>
      </c>
      <c r="N1385" t="s">
        <v>3043</v>
      </c>
      <c r="Q1385" t="b">
        <v>0</v>
      </c>
      <c r="S1385" t="str">
        <f>"9780310353560"</f>
        <v>9780310353560</v>
      </c>
      <c r="T1385" t="str">
        <f>"9780310863106"</f>
        <v>9780310863106</v>
      </c>
      <c r="U1385" t="b">
        <v>0</v>
      </c>
      <c r="W1385" t="b">
        <v>0</v>
      </c>
    </row>
    <row r="1386" spans="1:23" x14ac:dyDescent="0.3">
      <c r="A1386">
        <v>2981823</v>
      </c>
      <c r="B1386">
        <v>42.61</v>
      </c>
      <c r="C1386" t="s">
        <v>3044</v>
      </c>
      <c r="D1386" t="s">
        <v>3045</v>
      </c>
      <c r="E1386" t="s">
        <v>23</v>
      </c>
      <c r="F1386" t="s">
        <v>44</v>
      </c>
      <c r="G1386">
        <v>2007</v>
      </c>
      <c r="H1386" t="s">
        <v>99</v>
      </c>
      <c r="I1386" t="s">
        <v>3046</v>
      </c>
      <c r="K1386" t="s">
        <v>25</v>
      </c>
      <c r="L1386" t="s">
        <v>30</v>
      </c>
      <c r="M1386" t="b">
        <v>1</v>
      </c>
      <c r="N1386" t="s">
        <v>915</v>
      </c>
      <c r="O1386" t="str">
        <f>"232.9/08"</f>
        <v>232.9/08</v>
      </c>
      <c r="Q1386" t="b">
        <v>0</v>
      </c>
      <c r="S1386" t="str">
        <f>"9780310292012"</f>
        <v>9780310292012</v>
      </c>
      <c r="T1386" t="str">
        <f>"9780310565710"</f>
        <v>9780310565710</v>
      </c>
      <c r="U1386" t="b">
        <v>0</v>
      </c>
      <c r="W1386" t="b">
        <v>0</v>
      </c>
    </row>
    <row r="1387" spans="1:23" x14ac:dyDescent="0.3">
      <c r="A1387">
        <v>2981822</v>
      </c>
      <c r="B1387">
        <v>51.72</v>
      </c>
      <c r="C1387" t="s">
        <v>3047</v>
      </c>
      <c r="D1387" t="s">
        <v>3048</v>
      </c>
      <c r="E1387" t="s">
        <v>23</v>
      </c>
      <c r="F1387" t="s">
        <v>44</v>
      </c>
      <c r="G1387">
        <v>2012</v>
      </c>
      <c r="H1387" t="s">
        <v>24</v>
      </c>
      <c r="K1387" t="s">
        <v>25</v>
      </c>
      <c r="L1387" t="s">
        <v>30</v>
      </c>
      <c r="M1387" t="b">
        <v>1</v>
      </c>
      <c r="N1387" t="s">
        <v>3049</v>
      </c>
      <c r="Q1387" t="b">
        <v>0</v>
      </c>
      <c r="S1387" t="str">
        <f>"9780310309000"</f>
        <v>9780310309000</v>
      </c>
      <c r="T1387" t="str">
        <f>"9780310303572"</f>
        <v>9780310303572</v>
      </c>
      <c r="U1387" t="b">
        <v>0</v>
      </c>
      <c r="W1387" t="b">
        <v>0</v>
      </c>
    </row>
    <row r="1388" spans="1:23" x14ac:dyDescent="0.3">
      <c r="A1388">
        <v>2981821</v>
      </c>
      <c r="B1388">
        <v>55.17</v>
      </c>
      <c r="C1388" t="s">
        <v>3050</v>
      </c>
      <c r="E1388" t="s">
        <v>23</v>
      </c>
      <c r="F1388" t="s">
        <v>44</v>
      </c>
      <c r="G1388">
        <v>2013</v>
      </c>
      <c r="H1388" t="s">
        <v>728</v>
      </c>
      <c r="K1388" t="s">
        <v>25</v>
      </c>
      <c r="L1388" t="s">
        <v>30</v>
      </c>
      <c r="M1388" t="b">
        <v>1</v>
      </c>
      <c r="N1388" t="s">
        <v>741</v>
      </c>
      <c r="P1388" t="s">
        <v>2809</v>
      </c>
      <c r="Q1388" t="b">
        <v>1</v>
      </c>
      <c r="S1388" t="str">
        <f>"9780310257776"</f>
        <v>9780310257776</v>
      </c>
      <c r="T1388" t="str">
        <f>"9780310411871"</f>
        <v>9780310411871</v>
      </c>
      <c r="U1388" t="b">
        <v>0</v>
      </c>
      <c r="W1388" t="b">
        <v>0</v>
      </c>
    </row>
    <row r="1389" spans="1:23" x14ac:dyDescent="0.3">
      <c r="A1389">
        <v>2981820</v>
      </c>
      <c r="B1389">
        <v>51.72</v>
      </c>
      <c r="C1389" t="s">
        <v>3051</v>
      </c>
      <c r="E1389" t="s">
        <v>23</v>
      </c>
      <c r="F1389" t="s">
        <v>44</v>
      </c>
      <c r="G1389">
        <v>2009</v>
      </c>
      <c r="H1389" t="s">
        <v>66</v>
      </c>
      <c r="K1389" t="s">
        <v>25</v>
      </c>
      <c r="L1389" t="s">
        <v>30</v>
      </c>
      <c r="M1389" t="b">
        <v>1</v>
      </c>
      <c r="N1389" t="s">
        <v>2709</v>
      </c>
      <c r="P1389" t="s">
        <v>3052</v>
      </c>
      <c r="Q1389" t="b">
        <v>1</v>
      </c>
      <c r="S1389" t="str">
        <f>"9780310252238"</f>
        <v>9780310252238</v>
      </c>
      <c r="T1389" t="str">
        <f>"9780310543008"</f>
        <v>9780310543008</v>
      </c>
      <c r="U1389" t="b">
        <v>0</v>
      </c>
      <c r="W1389" t="b">
        <v>0</v>
      </c>
    </row>
    <row r="1390" spans="1:23" x14ac:dyDescent="0.3">
      <c r="A1390">
        <v>2981819</v>
      </c>
      <c r="B1390">
        <v>55.17</v>
      </c>
      <c r="C1390" t="s">
        <v>3053</v>
      </c>
      <c r="E1390" t="s">
        <v>23</v>
      </c>
      <c r="F1390" t="s">
        <v>44</v>
      </c>
      <c r="G1390">
        <v>2009</v>
      </c>
      <c r="H1390" t="s">
        <v>66</v>
      </c>
      <c r="K1390" t="s">
        <v>25</v>
      </c>
      <c r="L1390" t="s">
        <v>30</v>
      </c>
      <c r="M1390" t="b">
        <v>1</v>
      </c>
      <c r="N1390" t="s">
        <v>77</v>
      </c>
      <c r="P1390" t="s">
        <v>3054</v>
      </c>
      <c r="Q1390" t="b">
        <v>1</v>
      </c>
      <c r="S1390" t="str">
        <f>"9780310342816"</f>
        <v>9780310342816</v>
      </c>
      <c r="T1390" t="str">
        <f>"9780310565680"</f>
        <v>9780310565680</v>
      </c>
      <c r="U1390" t="b">
        <v>0</v>
      </c>
      <c r="W1390" t="b">
        <v>0</v>
      </c>
    </row>
    <row r="1391" spans="1:23" x14ac:dyDescent="0.3">
      <c r="A1391">
        <v>2981818</v>
      </c>
      <c r="B1391">
        <v>68.97</v>
      </c>
      <c r="C1391" t="s">
        <v>3055</v>
      </c>
      <c r="D1391" t="s">
        <v>3056</v>
      </c>
      <c r="E1391" t="s">
        <v>23</v>
      </c>
      <c r="F1391" t="s">
        <v>44</v>
      </c>
      <c r="G1391">
        <v>2017</v>
      </c>
      <c r="H1391" t="s">
        <v>89</v>
      </c>
      <c r="K1391" t="s">
        <v>25</v>
      </c>
      <c r="L1391" t="s">
        <v>26</v>
      </c>
      <c r="M1391" t="b">
        <v>1</v>
      </c>
      <c r="N1391" t="s">
        <v>3057</v>
      </c>
      <c r="Q1391" t="b">
        <v>0</v>
      </c>
      <c r="S1391" t="str">
        <f>"9780310347811"</f>
        <v>9780310347811</v>
      </c>
      <c r="T1391" t="str">
        <f>"9780310348061"</f>
        <v>9780310348061</v>
      </c>
      <c r="U1391" t="b">
        <v>0</v>
      </c>
      <c r="W1391" t="b">
        <v>0</v>
      </c>
    </row>
    <row r="1392" spans="1:23" x14ac:dyDescent="0.3">
      <c r="A1392">
        <v>2981816</v>
      </c>
      <c r="B1392">
        <v>68.97</v>
      </c>
      <c r="C1392" t="s">
        <v>3058</v>
      </c>
      <c r="D1392" t="s">
        <v>3059</v>
      </c>
      <c r="E1392" t="s">
        <v>23</v>
      </c>
      <c r="F1392" t="s">
        <v>44</v>
      </c>
      <c r="G1392">
        <v>2016</v>
      </c>
      <c r="H1392" t="s">
        <v>24</v>
      </c>
      <c r="I1392" t="s">
        <v>3060</v>
      </c>
      <c r="J1392" t="s">
        <v>895</v>
      </c>
      <c r="K1392" t="s">
        <v>25</v>
      </c>
      <c r="L1392" t="s">
        <v>26</v>
      </c>
      <c r="M1392" t="b">
        <v>1</v>
      </c>
      <c r="N1392" t="s">
        <v>419</v>
      </c>
      <c r="O1392" t="str">
        <f>"248.3/2"</f>
        <v>248.3/2</v>
      </c>
      <c r="Q1392" t="b">
        <v>0</v>
      </c>
      <c r="S1392" t="str">
        <f>"9780310346913"</f>
        <v>9780310346913</v>
      </c>
      <c r="T1392" t="str">
        <f>"9780310346920"</f>
        <v>9780310346920</v>
      </c>
      <c r="U1392" t="b">
        <v>0</v>
      </c>
      <c r="W1392" t="b">
        <v>0</v>
      </c>
    </row>
    <row r="1393" spans="1:23" x14ac:dyDescent="0.3">
      <c r="A1393">
        <v>2981815</v>
      </c>
      <c r="B1393">
        <v>62.07</v>
      </c>
      <c r="C1393" t="s">
        <v>3061</v>
      </c>
      <c r="D1393" t="s">
        <v>3062</v>
      </c>
      <c r="E1393" t="s">
        <v>23</v>
      </c>
      <c r="F1393" t="s">
        <v>44</v>
      </c>
      <c r="G1393">
        <v>2009</v>
      </c>
      <c r="H1393" t="s">
        <v>69</v>
      </c>
      <c r="K1393" t="s">
        <v>25</v>
      </c>
      <c r="L1393" t="s">
        <v>26</v>
      </c>
      <c r="M1393" t="b">
        <v>1</v>
      </c>
      <c r="N1393" t="s">
        <v>2666</v>
      </c>
      <c r="Q1393" t="b">
        <v>0</v>
      </c>
      <c r="S1393" t="str">
        <f>"9780310356219"</f>
        <v>9780310356219</v>
      </c>
      <c r="T1393" t="str">
        <f>"9780310566069"</f>
        <v>9780310566069</v>
      </c>
      <c r="U1393" t="b">
        <v>0</v>
      </c>
      <c r="W1393" t="b">
        <v>0</v>
      </c>
    </row>
    <row r="1394" spans="1:23" x14ac:dyDescent="0.3">
      <c r="A1394">
        <v>2981814</v>
      </c>
      <c r="B1394">
        <v>56.82</v>
      </c>
      <c r="C1394" t="s">
        <v>3063</v>
      </c>
      <c r="D1394" t="s">
        <v>3064</v>
      </c>
      <c r="E1394" t="s">
        <v>23</v>
      </c>
      <c r="F1394" t="s">
        <v>44</v>
      </c>
      <c r="G1394">
        <v>2009</v>
      </c>
      <c r="H1394" t="s">
        <v>99</v>
      </c>
      <c r="K1394" t="s">
        <v>25</v>
      </c>
      <c r="L1394" t="s">
        <v>26</v>
      </c>
      <c r="M1394" t="b">
        <v>1</v>
      </c>
      <c r="N1394" t="s">
        <v>915</v>
      </c>
      <c r="Q1394" t="b">
        <v>0</v>
      </c>
      <c r="T1394" t="str">
        <f>"9780310297161"</f>
        <v>9780310297161</v>
      </c>
      <c r="U1394" t="b">
        <v>0</v>
      </c>
      <c r="W1394" t="b">
        <v>0</v>
      </c>
    </row>
    <row r="1395" spans="1:23" x14ac:dyDescent="0.3">
      <c r="A1395">
        <v>2981813</v>
      </c>
      <c r="B1395">
        <v>58.62</v>
      </c>
      <c r="C1395" t="s">
        <v>3065</v>
      </c>
      <c r="E1395" t="s">
        <v>23</v>
      </c>
      <c r="F1395" t="s">
        <v>44</v>
      </c>
      <c r="G1395">
        <v>2009</v>
      </c>
      <c r="H1395" t="s">
        <v>728</v>
      </c>
      <c r="K1395" t="s">
        <v>25</v>
      </c>
      <c r="L1395" t="s">
        <v>30</v>
      </c>
      <c r="M1395" t="b">
        <v>1</v>
      </c>
      <c r="N1395" t="s">
        <v>3066</v>
      </c>
      <c r="P1395" t="s">
        <v>3067</v>
      </c>
      <c r="Q1395" t="b">
        <v>1</v>
      </c>
      <c r="S1395" t="str">
        <f>"9780310201687"</f>
        <v>9780310201687</v>
      </c>
      <c r="T1395" t="str">
        <f>"9780310865520"</f>
        <v>9780310865520</v>
      </c>
      <c r="U1395" t="b">
        <v>0</v>
      </c>
      <c r="W1395" t="b">
        <v>0</v>
      </c>
    </row>
    <row r="1396" spans="1:23" x14ac:dyDescent="0.3">
      <c r="A1396">
        <v>2981812</v>
      </c>
      <c r="B1396">
        <v>58.62</v>
      </c>
      <c r="C1396" t="s">
        <v>3068</v>
      </c>
      <c r="D1396" t="s">
        <v>3069</v>
      </c>
      <c r="E1396" t="s">
        <v>23</v>
      </c>
      <c r="F1396" t="s">
        <v>44</v>
      </c>
      <c r="G1396">
        <v>2009</v>
      </c>
      <c r="H1396" t="s">
        <v>58</v>
      </c>
      <c r="K1396" t="s">
        <v>25</v>
      </c>
      <c r="L1396" t="s">
        <v>26</v>
      </c>
      <c r="M1396" t="b">
        <v>1</v>
      </c>
      <c r="N1396" t="s">
        <v>2778</v>
      </c>
      <c r="Q1396" t="b">
        <v>0</v>
      </c>
      <c r="S1396" t="str">
        <f>"9780310346838"</f>
        <v>9780310346838</v>
      </c>
      <c r="T1396" t="str">
        <f>"9780310313083"</f>
        <v>9780310313083</v>
      </c>
      <c r="U1396" t="b">
        <v>0</v>
      </c>
      <c r="W1396" t="b">
        <v>0</v>
      </c>
    </row>
    <row r="1397" spans="1:23" x14ac:dyDescent="0.3">
      <c r="A1397">
        <v>2981811</v>
      </c>
      <c r="B1397">
        <v>51.72</v>
      </c>
      <c r="C1397" t="s">
        <v>3070</v>
      </c>
      <c r="E1397" t="s">
        <v>23</v>
      </c>
      <c r="F1397" t="s">
        <v>44</v>
      </c>
      <c r="G1397">
        <v>2018</v>
      </c>
      <c r="H1397" t="s">
        <v>132</v>
      </c>
      <c r="K1397" t="s">
        <v>25</v>
      </c>
      <c r="L1397" t="s">
        <v>26</v>
      </c>
      <c r="M1397" t="b">
        <v>1</v>
      </c>
      <c r="N1397" t="s">
        <v>44</v>
      </c>
      <c r="P1397" t="s">
        <v>1216</v>
      </c>
      <c r="Q1397" t="b">
        <v>0</v>
      </c>
      <c r="S1397" t="str">
        <f>"9780310089643"</f>
        <v>9780310089643</v>
      </c>
      <c r="T1397" t="str">
        <f>"9780310089650"</f>
        <v>9780310089650</v>
      </c>
      <c r="U1397" t="b">
        <v>0</v>
      </c>
      <c r="W1397" t="b">
        <v>0</v>
      </c>
    </row>
    <row r="1398" spans="1:23" x14ac:dyDescent="0.3">
      <c r="A1398">
        <v>2981810</v>
      </c>
      <c r="B1398">
        <v>39.049999999999997</v>
      </c>
      <c r="C1398" t="s">
        <v>3071</v>
      </c>
      <c r="E1398" t="s">
        <v>23</v>
      </c>
      <c r="F1398" t="s">
        <v>44</v>
      </c>
      <c r="G1398">
        <v>2009</v>
      </c>
      <c r="H1398" t="s">
        <v>68</v>
      </c>
      <c r="K1398" t="s">
        <v>25</v>
      </c>
      <c r="L1398" t="s">
        <v>30</v>
      </c>
      <c r="M1398" t="b">
        <v>1</v>
      </c>
      <c r="N1398" t="s">
        <v>3072</v>
      </c>
      <c r="Q1398" t="b">
        <v>0</v>
      </c>
      <c r="T1398" t="str">
        <f>"9780310297086"</f>
        <v>9780310297086</v>
      </c>
      <c r="U1398" t="b">
        <v>0</v>
      </c>
      <c r="W1398" t="b">
        <v>0</v>
      </c>
    </row>
    <row r="1399" spans="1:23" x14ac:dyDescent="0.3">
      <c r="A1399">
        <v>2981809</v>
      </c>
      <c r="B1399">
        <v>62.07</v>
      </c>
      <c r="C1399" t="s">
        <v>3073</v>
      </c>
      <c r="D1399" t="s">
        <v>3074</v>
      </c>
      <c r="E1399" t="s">
        <v>23</v>
      </c>
      <c r="F1399" t="s">
        <v>44</v>
      </c>
      <c r="G1399">
        <v>2011</v>
      </c>
      <c r="H1399" t="s">
        <v>56</v>
      </c>
      <c r="K1399" t="s">
        <v>25</v>
      </c>
      <c r="L1399" t="s">
        <v>30</v>
      </c>
      <c r="M1399" t="b">
        <v>1</v>
      </c>
      <c r="N1399" t="s">
        <v>2846</v>
      </c>
      <c r="Q1399" t="b">
        <v>0</v>
      </c>
      <c r="S1399" t="str">
        <f>"9780310504177"</f>
        <v>9780310504177</v>
      </c>
      <c r="T1399" t="str">
        <f>"9780310334439"</f>
        <v>9780310334439</v>
      </c>
      <c r="U1399" t="b">
        <v>0</v>
      </c>
      <c r="W1399" t="b">
        <v>0</v>
      </c>
    </row>
    <row r="1400" spans="1:23" x14ac:dyDescent="0.3">
      <c r="A1400">
        <v>2981708</v>
      </c>
      <c r="B1400">
        <v>34.47</v>
      </c>
      <c r="C1400" t="s">
        <v>3075</v>
      </c>
      <c r="E1400" t="s">
        <v>23</v>
      </c>
      <c r="F1400" t="s">
        <v>44</v>
      </c>
      <c r="G1400">
        <v>2009</v>
      </c>
      <c r="H1400" t="s">
        <v>168</v>
      </c>
      <c r="K1400" t="s">
        <v>25</v>
      </c>
      <c r="L1400" t="s">
        <v>30</v>
      </c>
      <c r="M1400" t="b">
        <v>1</v>
      </c>
      <c r="N1400" t="s">
        <v>3076</v>
      </c>
      <c r="P1400" t="s">
        <v>3077</v>
      </c>
      <c r="Q1400" t="b">
        <v>0</v>
      </c>
      <c r="S1400" t="str">
        <f>"9780310278818"</f>
        <v>9780310278818</v>
      </c>
      <c r="T1400" t="str">
        <f>"9780310863151"</f>
        <v>9780310863151</v>
      </c>
      <c r="U1400" t="b">
        <v>0</v>
      </c>
      <c r="W1400" t="b">
        <v>0</v>
      </c>
    </row>
    <row r="1401" spans="1:23" x14ac:dyDescent="0.3">
      <c r="A1401">
        <v>2981707</v>
      </c>
      <c r="B1401">
        <v>120.72</v>
      </c>
      <c r="C1401" t="s">
        <v>3078</v>
      </c>
      <c r="E1401" t="s">
        <v>23</v>
      </c>
      <c r="F1401" t="s">
        <v>44</v>
      </c>
      <c r="G1401">
        <v>2014</v>
      </c>
      <c r="H1401" t="s">
        <v>3079</v>
      </c>
      <c r="K1401" t="s">
        <v>25</v>
      </c>
      <c r="L1401" t="s">
        <v>26</v>
      </c>
      <c r="M1401" t="b">
        <v>1</v>
      </c>
      <c r="N1401" t="s">
        <v>44</v>
      </c>
      <c r="Q1401" t="b">
        <v>0</v>
      </c>
      <c r="S1401" t="str">
        <f>"9780310719168"</f>
        <v>9780310719168</v>
      </c>
      <c r="T1401" t="str">
        <f>"9780310426295"</f>
        <v>9780310426295</v>
      </c>
      <c r="U1401" t="b">
        <v>0</v>
      </c>
      <c r="W1401" t="b">
        <v>0</v>
      </c>
    </row>
    <row r="1402" spans="1:23" x14ac:dyDescent="0.3">
      <c r="A1402">
        <v>2981706</v>
      </c>
      <c r="B1402">
        <v>48.27</v>
      </c>
      <c r="C1402" t="s">
        <v>3080</v>
      </c>
      <c r="D1402" t="s">
        <v>3081</v>
      </c>
      <c r="E1402" t="s">
        <v>23</v>
      </c>
      <c r="F1402" t="s">
        <v>44</v>
      </c>
      <c r="G1402">
        <v>2009</v>
      </c>
      <c r="H1402" t="s">
        <v>58</v>
      </c>
      <c r="K1402" t="s">
        <v>25</v>
      </c>
      <c r="L1402" t="s">
        <v>30</v>
      </c>
      <c r="M1402" t="b">
        <v>1</v>
      </c>
      <c r="N1402" t="s">
        <v>3082</v>
      </c>
      <c r="Q1402" t="b">
        <v>0</v>
      </c>
      <c r="S1402" t="str">
        <f>"9780310273240"</f>
        <v>9780310273240</v>
      </c>
      <c r="T1402" t="str">
        <f>"9780310542063"</f>
        <v>9780310542063</v>
      </c>
      <c r="U1402" t="b">
        <v>0</v>
      </c>
      <c r="W1402" t="b">
        <v>0</v>
      </c>
    </row>
    <row r="1403" spans="1:23" x14ac:dyDescent="0.3">
      <c r="A1403">
        <v>2981705</v>
      </c>
      <c r="B1403">
        <v>93.12</v>
      </c>
      <c r="C1403" t="s">
        <v>3083</v>
      </c>
      <c r="D1403" t="s">
        <v>3084</v>
      </c>
      <c r="E1403" t="s">
        <v>23</v>
      </c>
      <c r="F1403" t="s">
        <v>44</v>
      </c>
      <c r="G1403">
        <v>2021</v>
      </c>
      <c r="H1403" t="s">
        <v>99</v>
      </c>
      <c r="I1403" t="s">
        <v>3085</v>
      </c>
      <c r="J1403" t="s">
        <v>3086</v>
      </c>
      <c r="K1403" t="s">
        <v>25</v>
      </c>
      <c r="L1403" t="s">
        <v>26</v>
      </c>
      <c r="M1403" t="b">
        <v>1</v>
      </c>
      <c r="N1403" t="s">
        <v>752</v>
      </c>
      <c r="O1403" t="str">
        <f>"248.4"</f>
        <v>248.4</v>
      </c>
      <c r="Q1403" t="b">
        <v>0</v>
      </c>
      <c r="S1403" t="str">
        <f>"9780310362722"</f>
        <v>9780310362722</v>
      </c>
      <c r="T1403" t="str">
        <f>"9780310362739"</f>
        <v>9780310362739</v>
      </c>
      <c r="U1403" t="b">
        <v>0</v>
      </c>
      <c r="W1403" t="b">
        <v>0</v>
      </c>
    </row>
    <row r="1404" spans="1:23" x14ac:dyDescent="0.3">
      <c r="A1404">
        <v>2981704</v>
      </c>
      <c r="B1404">
        <v>14.18</v>
      </c>
      <c r="C1404" t="s">
        <v>3087</v>
      </c>
      <c r="D1404" t="s">
        <v>3088</v>
      </c>
      <c r="E1404" t="s">
        <v>23</v>
      </c>
      <c r="F1404" t="s">
        <v>44</v>
      </c>
      <c r="G1404">
        <v>2018</v>
      </c>
      <c r="H1404" t="s">
        <v>728</v>
      </c>
      <c r="K1404" t="s">
        <v>25</v>
      </c>
      <c r="L1404" t="s">
        <v>30</v>
      </c>
      <c r="M1404" t="b">
        <v>1</v>
      </c>
      <c r="N1404" t="s">
        <v>776</v>
      </c>
      <c r="Q1404" t="b">
        <v>1</v>
      </c>
      <c r="T1404" t="str">
        <f>"9780718091187"</f>
        <v>9780718091187</v>
      </c>
      <c r="U1404" t="b">
        <v>0</v>
      </c>
      <c r="W1404" t="b">
        <v>0</v>
      </c>
    </row>
    <row r="1405" spans="1:23" x14ac:dyDescent="0.3">
      <c r="A1405">
        <v>2981703</v>
      </c>
      <c r="B1405">
        <v>55.17</v>
      </c>
      <c r="C1405" t="s">
        <v>3089</v>
      </c>
      <c r="E1405" t="s">
        <v>23</v>
      </c>
      <c r="F1405" t="s">
        <v>44</v>
      </c>
      <c r="G1405">
        <v>2009</v>
      </c>
      <c r="H1405" t="s">
        <v>66</v>
      </c>
      <c r="K1405" t="s">
        <v>25</v>
      </c>
      <c r="L1405" t="s">
        <v>30</v>
      </c>
      <c r="M1405" t="b">
        <v>1</v>
      </c>
      <c r="N1405" t="s">
        <v>77</v>
      </c>
      <c r="P1405" t="s">
        <v>2373</v>
      </c>
      <c r="Q1405" t="b">
        <v>1</v>
      </c>
      <c r="S1405" t="str">
        <f>"9780310250647"</f>
        <v>9780310250647</v>
      </c>
      <c r="T1405" t="str">
        <f>"9780310539940"</f>
        <v>9780310539940</v>
      </c>
      <c r="U1405" t="b">
        <v>0</v>
      </c>
      <c r="W1405" t="b">
        <v>0</v>
      </c>
    </row>
    <row r="1406" spans="1:23" x14ac:dyDescent="0.3">
      <c r="A1406">
        <v>2981702</v>
      </c>
      <c r="B1406">
        <v>55.17</v>
      </c>
      <c r="C1406" t="s">
        <v>3090</v>
      </c>
      <c r="D1406" t="s">
        <v>3091</v>
      </c>
      <c r="E1406" t="s">
        <v>23</v>
      </c>
      <c r="F1406" t="s">
        <v>44</v>
      </c>
      <c r="G1406">
        <v>2008</v>
      </c>
      <c r="H1406" t="s">
        <v>58</v>
      </c>
      <c r="K1406" t="s">
        <v>25</v>
      </c>
      <c r="L1406" t="s">
        <v>30</v>
      </c>
      <c r="M1406" t="b">
        <v>1</v>
      </c>
      <c r="N1406" t="s">
        <v>3092</v>
      </c>
      <c r="Q1406" t="b">
        <v>0</v>
      </c>
      <c r="S1406" t="str">
        <f>"9780310278177"</f>
        <v>9780310278177</v>
      </c>
      <c r="T1406" t="str">
        <f>"9780310308522"</f>
        <v>9780310308522</v>
      </c>
      <c r="U1406" t="b">
        <v>0</v>
      </c>
      <c r="W1406" t="b">
        <v>0</v>
      </c>
    </row>
    <row r="1407" spans="1:23" x14ac:dyDescent="0.3">
      <c r="A1407">
        <v>2981701</v>
      </c>
      <c r="B1407">
        <v>68.97</v>
      </c>
      <c r="C1407" t="s">
        <v>3093</v>
      </c>
      <c r="D1407" t="s">
        <v>3094</v>
      </c>
      <c r="E1407" t="s">
        <v>23</v>
      </c>
      <c r="F1407" t="s">
        <v>44</v>
      </c>
      <c r="G1407">
        <v>2009</v>
      </c>
      <c r="H1407" t="s">
        <v>69</v>
      </c>
      <c r="K1407" t="s">
        <v>25</v>
      </c>
      <c r="L1407" t="s">
        <v>30</v>
      </c>
      <c r="M1407" t="b">
        <v>1</v>
      </c>
      <c r="N1407" t="s">
        <v>2509</v>
      </c>
      <c r="Q1407" t="b">
        <v>0</v>
      </c>
      <c r="S1407" t="str">
        <f>"9780310228752"</f>
        <v>9780310228752</v>
      </c>
      <c r="T1407" t="str">
        <f>"9780310319245"</f>
        <v>9780310319245</v>
      </c>
      <c r="U1407" t="b">
        <v>0</v>
      </c>
      <c r="W1407" t="b">
        <v>0</v>
      </c>
    </row>
    <row r="1408" spans="1:23" x14ac:dyDescent="0.3">
      <c r="A1408">
        <v>2981699</v>
      </c>
      <c r="B1408">
        <v>44.82</v>
      </c>
      <c r="C1408" t="s">
        <v>3095</v>
      </c>
      <c r="D1408" t="s">
        <v>2783</v>
      </c>
      <c r="E1408" t="s">
        <v>23</v>
      </c>
      <c r="F1408" t="s">
        <v>44</v>
      </c>
      <c r="G1408">
        <v>2014</v>
      </c>
      <c r="H1408" t="s">
        <v>1212</v>
      </c>
      <c r="K1408" t="s">
        <v>25</v>
      </c>
      <c r="L1408" t="s">
        <v>30</v>
      </c>
      <c r="M1408" t="b">
        <v>1</v>
      </c>
      <c r="N1408" t="s">
        <v>3096</v>
      </c>
      <c r="P1408" t="s">
        <v>2785</v>
      </c>
      <c r="Q1408" t="b">
        <v>1</v>
      </c>
      <c r="S1408" t="str">
        <f>"9780310338284"</f>
        <v>9780310338284</v>
      </c>
      <c r="T1408" t="str">
        <f>"9780310341505"</f>
        <v>9780310341505</v>
      </c>
      <c r="U1408" t="b">
        <v>0</v>
      </c>
      <c r="W1408" t="b">
        <v>0</v>
      </c>
    </row>
    <row r="1409" spans="1:23" x14ac:dyDescent="0.3">
      <c r="A1409">
        <v>2981698</v>
      </c>
      <c r="B1409">
        <v>55.17</v>
      </c>
      <c r="C1409" t="s">
        <v>3097</v>
      </c>
      <c r="D1409" t="s">
        <v>3098</v>
      </c>
      <c r="E1409" t="s">
        <v>23</v>
      </c>
      <c r="F1409" t="s">
        <v>44</v>
      </c>
      <c r="G1409">
        <v>2009</v>
      </c>
      <c r="H1409" t="s">
        <v>58</v>
      </c>
      <c r="K1409" t="s">
        <v>25</v>
      </c>
      <c r="L1409" t="s">
        <v>30</v>
      </c>
      <c r="M1409" t="b">
        <v>1</v>
      </c>
      <c r="N1409" t="s">
        <v>3099</v>
      </c>
      <c r="Q1409" t="b">
        <v>0</v>
      </c>
      <c r="S1409" t="str">
        <f>"9780310292326"</f>
        <v>9780310292326</v>
      </c>
      <c r="T1409" t="str">
        <f>"9780310562504"</f>
        <v>9780310562504</v>
      </c>
      <c r="U1409" t="b">
        <v>0</v>
      </c>
      <c r="W1409" t="b">
        <v>0</v>
      </c>
    </row>
    <row r="1410" spans="1:23" x14ac:dyDescent="0.3">
      <c r="A1410">
        <v>2981697</v>
      </c>
      <c r="B1410">
        <v>44.82</v>
      </c>
      <c r="C1410" t="s">
        <v>3100</v>
      </c>
      <c r="D1410" t="s">
        <v>3101</v>
      </c>
      <c r="E1410" t="s">
        <v>23</v>
      </c>
      <c r="F1410" t="s">
        <v>44</v>
      </c>
      <c r="G1410">
        <v>2020</v>
      </c>
      <c r="H1410" t="s">
        <v>58</v>
      </c>
      <c r="K1410" t="s">
        <v>25</v>
      </c>
      <c r="L1410" t="s">
        <v>26</v>
      </c>
      <c r="M1410" t="b">
        <v>1</v>
      </c>
      <c r="N1410" t="s">
        <v>1878</v>
      </c>
      <c r="Q1410" t="b">
        <v>0</v>
      </c>
      <c r="S1410" t="str">
        <f>"9780310108085"</f>
        <v>9780310108085</v>
      </c>
      <c r="T1410" t="str">
        <f>"9780310108245"</f>
        <v>9780310108245</v>
      </c>
      <c r="U1410" t="b">
        <v>0</v>
      </c>
      <c r="W1410" t="b">
        <v>0</v>
      </c>
    </row>
    <row r="1411" spans="1:23" x14ac:dyDescent="0.3">
      <c r="A1411">
        <v>2981696</v>
      </c>
      <c r="B1411">
        <v>39.049999999999997</v>
      </c>
      <c r="C1411" t="s">
        <v>3102</v>
      </c>
      <c r="E1411" t="s">
        <v>23</v>
      </c>
      <c r="F1411" t="s">
        <v>44</v>
      </c>
      <c r="G1411">
        <v>2009</v>
      </c>
      <c r="H1411" t="s">
        <v>737</v>
      </c>
      <c r="K1411" t="s">
        <v>25</v>
      </c>
      <c r="L1411" t="s">
        <v>30</v>
      </c>
      <c r="M1411" t="b">
        <v>1</v>
      </c>
      <c r="N1411" t="s">
        <v>3103</v>
      </c>
      <c r="Q1411" t="b">
        <v>0</v>
      </c>
      <c r="T1411" t="str">
        <f>"9780310543381"</f>
        <v>9780310543381</v>
      </c>
      <c r="U1411" t="b">
        <v>0</v>
      </c>
      <c r="W1411" t="b">
        <v>0</v>
      </c>
    </row>
    <row r="1412" spans="1:23" x14ac:dyDescent="0.3">
      <c r="A1412">
        <v>2981695</v>
      </c>
      <c r="B1412">
        <v>58.62</v>
      </c>
      <c r="C1412" t="s">
        <v>3104</v>
      </c>
      <c r="D1412" t="s">
        <v>2845</v>
      </c>
      <c r="E1412" t="s">
        <v>23</v>
      </c>
      <c r="F1412" t="s">
        <v>44</v>
      </c>
      <c r="G1412">
        <v>2019</v>
      </c>
      <c r="H1412" t="s">
        <v>69</v>
      </c>
      <c r="I1412" t="s">
        <v>3105</v>
      </c>
      <c r="J1412" t="s">
        <v>3106</v>
      </c>
      <c r="K1412" t="s">
        <v>25</v>
      </c>
      <c r="L1412" t="s">
        <v>26</v>
      </c>
      <c r="M1412" t="b">
        <v>1</v>
      </c>
      <c r="N1412" t="s">
        <v>2846</v>
      </c>
      <c r="O1412" t="str">
        <f>"306.7"</f>
        <v>306.7</v>
      </c>
      <c r="Q1412" t="b">
        <v>0</v>
      </c>
      <c r="S1412" t="str">
        <f>"9780310353522"</f>
        <v>9780310353522</v>
      </c>
      <c r="T1412" t="str">
        <f>"9780310353539"</f>
        <v>9780310353539</v>
      </c>
      <c r="U1412" t="b">
        <v>0</v>
      </c>
      <c r="W1412" t="b">
        <v>0</v>
      </c>
    </row>
    <row r="1413" spans="1:23" x14ac:dyDescent="0.3">
      <c r="A1413">
        <v>2981694</v>
      </c>
      <c r="B1413">
        <v>44.82</v>
      </c>
      <c r="C1413" t="s">
        <v>3107</v>
      </c>
      <c r="E1413" t="s">
        <v>23</v>
      </c>
      <c r="F1413" t="s">
        <v>44</v>
      </c>
      <c r="G1413">
        <v>2014</v>
      </c>
      <c r="H1413" t="s">
        <v>3108</v>
      </c>
      <c r="K1413" t="s">
        <v>25</v>
      </c>
      <c r="L1413" t="s">
        <v>30</v>
      </c>
      <c r="M1413" t="b">
        <v>1</v>
      </c>
      <c r="N1413" t="s">
        <v>740</v>
      </c>
      <c r="P1413" t="s">
        <v>1560</v>
      </c>
      <c r="Q1413" t="b">
        <v>0</v>
      </c>
      <c r="S1413" t="str">
        <f>"9780310730989"</f>
        <v>9780310730989</v>
      </c>
      <c r="T1413" t="str">
        <f>"9780310745754"</f>
        <v>9780310745754</v>
      </c>
      <c r="U1413" t="b">
        <v>0</v>
      </c>
      <c r="W1413" t="b">
        <v>0</v>
      </c>
    </row>
    <row r="1414" spans="1:23" x14ac:dyDescent="0.3">
      <c r="A1414">
        <v>2981693</v>
      </c>
      <c r="B1414">
        <v>42.61</v>
      </c>
      <c r="C1414" t="s">
        <v>3109</v>
      </c>
      <c r="E1414" t="s">
        <v>23</v>
      </c>
      <c r="F1414" t="s">
        <v>44</v>
      </c>
      <c r="G1414">
        <v>2009</v>
      </c>
      <c r="H1414" t="s">
        <v>74</v>
      </c>
      <c r="K1414" t="s">
        <v>25</v>
      </c>
      <c r="L1414" t="s">
        <v>30</v>
      </c>
      <c r="M1414" t="b">
        <v>1</v>
      </c>
      <c r="N1414" t="s">
        <v>3110</v>
      </c>
      <c r="Q1414" t="b">
        <v>1</v>
      </c>
      <c r="T1414" t="str">
        <f>"9780310542940"</f>
        <v>9780310542940</v>
      </c>
      <c r="U1414" t="b">
        <v>0</v>
      </c>
      <c r="W1414" t="b">
        <v>0</v>
      </c>
    </row>
    <row r="1415" spans="1:23" x14ac:dyDescent="0.3">
      <c r="A1415">
        <v>2981692</v>
      </c>
      <c r="B1415">
        <v>35.5</v>
      </c>
      <c r="C1415" t="s">
        <v>3111</v>
      </c>
      <c r="D1415" t="s">
        <v>3112</v>
      </c>
      <c r="E1415" t="s">
        <v>23</v>
      </c>
      <c r="F1415" t="s">
        <v>44</v>
      </c>
      <c r="G1415">
        <v>2011</v>
      </c>
      <c r="H1415" t="s">
        <v>57</v>
      </c>
      <c r="K1415" t="s">
        <v>25</v>
      </c>
      <c r="L1415" t="s">
        <v>30</v>
      </c>
      <c r="M1415" t="b">
        <v>1</v>
      </c>
      <c r="N1415" t="s">
        <v>851</v>
      </c>
      <c r="Q1415" t="b">
        <v>0</v>
      </c>
      <c r="S1415" t="str">
        <f>"9780310492986"</f>
        <v>9780310492986</v>
      </c>
      <c r="T1415" t="str">
        <f>"9780310492993"</f>
        <v>9780310492993</v>
      </c>
      <c r="U1415" t="b">
        <v>0</v>
      </c>
      <c r="W1415" t="b">
        <v>0</v>
      </c>
    </row>
    <row r="1416" spans="1:23" x14ac:dyDescent="0.3">
      <c r="A1416">
        <v>2981691</v>
      </c>
      <c r="B1416">
        <v>44.82</v>
      </c>
      <c r="C1416" t="s">
        <v>3113</v>
      </c>
      <c r="E1416" t="s">
        <v>23</v>
      </c>
      <c r="F1416" t="s">
        <v>44</v>
      </c>
      <c r="G1416">
        <v>2009</v>
      </c>
      <c r="H1416" t="s">
        <v>2894</v>
      </c>
      <c r="K1416" t="s">
        <v>25</v>
      </c>
      <c r="L1416" t="s">
        <v>30</v>
      </c>
      <c r="M1416" t="b">
        <v>1</v>
      </c>
      <c r="N1416" t="s">
        <v>1615</v>
      </c>
      <c r="P1416" t="s">
        <v>2895</v>
      </c>
      <c r="Q1416" t="b">
        <v>0</v>
      </c>
      <c r="S1416" t="str">
        <f>"9780310729068"</f>
        <v>9780310729068</v>
      </c>
      <c r="T1416" t="str">
        <f>"9780310566793"</f>
        <v>9780310566793</v>
      </c>
      <c r="U1416" t="b">
        <v>0</v>
      </c>
      <c r="W1416" t="b">
        <v>0</v>
      </c>
    </row>
    <row r="1417" spans="1:23" x14ac:dyDescent="0.3">
      <c r="A1417">
        <v>2981675</v>
      </c>
      <c r="B1417">
        <v>42.61</v>
      </c>
      <c r="C1417" t="s">
        <v>3114</v>
      </c>
      <c r="D1417" t="s">
        <v>3115</v>
      </c>
      <c r="E1417" t="s">
        <v>23</v>
      </c>
      <c r="F1417" t="s">
        <v>44</v>
      </c>
      <c r="G1417">
        <v>2009</v>
      </c>
      <c r="H1417" t="s">
        <v>69</v>
      </c>
      <c r="K1417" t="s">
        <v>25</v>
      </c>
      <c r="L1417" t="s">
        <v>30</v>
      </c>
      <c r="M1417" t="b">
        <v>1</v>
      </c>
      <c r="N1417" t="s">
        <v>3116</v>
      </c>
      <c r="Q1417" t="b">
        <v>0</v>
      </c>
      <c r="T1417" t="str">
        <f>"9780310828341"</f>
        <v>9780310828341</v>
      </c>
      <c r="U1417" t="b">
        <v>0</v>
      </c>
      <c r="W1417" t="b">
        <v>0</v>
      </c>
    </row>
    <row r="1418" spans="1:23" x14ac:dyDescent="0.3">
      <c r="A1418">
        <v>2981674</v>
      </c>
      <c r="B1418">
        <v>65.52</v>
      </c>
      <c r="C1418" t="s">
        <v>3117</v>
      </c>
      <c r="D1418" t="s">
        <v>3118</v>
      </c>
      <c r="E1418" t="s">
        <v>23</v>
      </c>
      <c r="F1418" t="s">
        <v>44</v>
      </c>
      <c r="G1418">
        <v>2020</v>
      </c>
      <c r="H1418" t="s">
        <v>58</v>
      </c>
      <c r="I1418" t="s">
        <v>2656</v>
      </c>
      <c r="J1418" t="s">
        <v>3119</v>
      </c>
      <c r="K1418" t="s">
        <v>25</v>
      </c>
      <c r="L1418" t="s">
        <v>26</v>
      </c>
      <c r="M1418" t="b">
        <v>1</v>
      </c>
      <c r="N1418" t="s">
        <v>2641</v>
      </c>
      <c r="O1418" t="str">
        <f>"248.4"</f>
        <v>248.4</v>
      </c>
      <c r="Q1418" t="b">
        <v>0</v>
      </c>
      <c r="S1418" t="str">
        <f>"9780310361176"</f>
        <v>9780310361176</v>
      </c>
      <c r="T1418" t="str">
        <f>"9780310361183"</f>
        <v>9780310361183</v>
      </c>
      <c r="U1418" t="b">
        <v>0</v>
      </c>
      <c r="W1418" t="b">
        <v>0</v>
      </c>
    </row>
    <row r="1419" spans="1:23" x14ac:dyDescent="0.3">
      <c r="A1419">
        <v>2981673</v>
      </c>
      <c r="B1419">
        <v>62.07</v>
      </c>
      <c r="C1419" t="s">
        <v>3120</v>
      </c>
      <c r="D1419" t="s">
        <v>3121</v>
      </c>
      <c r="E1419" t="s">
        <v>23</v>
      </c>
      <c r="F1419" t="s">
        <v>44</v>
      </c>
      <c r="G1419">
        <v>2019</v>
      </c>
      <c r="H1419" t="s">
        <v>58</v>
      </c>
      <c r="K1419" t="s">
        <v>25</v>
      </c>
      <c r="L1419" t="s">
        <v>26</v>
      </c>
      <c r="M1419" t="b">
        <v>1</v>
      </c>
      <c r="N1419" t="s">
        <v>3122</v>
      </c>
      <c r="Q1419" t="b">
        <v>0</v>
      </c>
      <c r="S1419" t="str">
        <f>"9780310355243"</f>
        <v>9780310355243</v>
      </c>
      <c r="T1419" t="str">
        <f>"9780310355250"</f>
        <v>9780310355250</v>
      </c>
      <c r="U1419" t="b">
        <v>0</v>
      </c>
      <c r="W1419" t="b">
        <v>0</v>
      </c>
    </row>
    <row r="1420" spans="1:23" x14ac:dyDescent="0.3">
      <c r="A1420">
        <v>2981672</v>
      </c>
      <c r="B1420">
        <v>44.82</v>
      </c>
      <c r="C1420" t="s">
        <v>3123</v>
      </c>
      <c r="E1420" t="s">
        <v>23</v>
      </c>
      <c r="F1420" t="s">
        <v>44</v>
      </c>
      <c r="G1420">
        <v>2009</v>
      </c>
      <c r="H1420" t="s">
        <v>2535</v>
      </c>
      <c r="K1420" t="s">
        <v>25</v>
      </c>
      <c r="L1420" t="s">
        <v>30</v>
      </c>
      <c r="M1420" t="b">
        <v>1</v>
      </c>
      <c r="N1420" t="s">
        <v>741</v>
      </c>
      <c r="Q1420" t="b">
        <v>1</v>
      </c>
      <c r="S1420" t="str">
        <f>"9780310259268"</f>
        <v>9780310259268</v>
      </c>
      <c r="T1420" t="str">
        <f>"9780310543060"</f>
        <v>9780310543060</v>
      </c>
      <c r="U1420" t="b">
        <v>0</v>
      </c>
      <c r="W1420" t="b">
        <v>0</v>
      </c>
    </row>
    <row r="1421" spans="1:23" x14ac:dyDescent="0.3">
      <c r="A1421">
        <v>2981671</v>
      </c>
      <c r="B1421">
        <v>55.17</v>
      </c>
      <c r="C1421" t="s">
        <v>3124</v>
      </c>
      <c r="E1421" t="s">
        <v>23</v>
      </c>
      <c r="F1421" t="s">
        <v>44</v>
      </c>
      <c r="G1421">
        <v>2008</v>
      </c>
      <c r="H1421" t="s">
        <v>1211</v>
      </c>
      <c r="K1421" t="s">
        <v>25</v>
      </c>
      <c r="L1421" t="s">
        <v>30</v>
      </c>
      <c r="M1421" t="b">
        <v>1</v>
      </c>
      <c r="N1421" t="s">
        <v>31</v>
      </c>
      <c r="P1421" t="s">
        <v>3125</v>
      </c>
      <c r="Q1421" t="b">
        <v>1</v>
      </c>
      <c r="S1421" t="str">
        <f>"9780310337836"</f>
        <v>9780310337836</v>
      </c>
      <c r="T1421" t="str">
        <f>"9780310296256"</f>
        <v>9780310296256</v>
      </c>
      <c r="U1421" t="b">
        <v>0</v>
      </c>
      <c r="W1421" t="b">
        <v>0</v>
      </c>
    </row>
    <row r="1422" spans="1:23" x14ac:dyDescent="0.3">
      <c r="A1422">
        <v>2981670</v>
      </c>
      <c r="B1422">
        <v>55.17</v>
      </c>
      <c r="C1422" t="s">
        <v>3126</v>
      </c>
      <c r="E1422" t="s">
        <v>23</v>
      </c>
      <c r="F1422" t="s">
        <v>44</v>
      </c>
      <c r="G1422">
        <v>2008</v>
      </c>
      <c r="H1422" t="s">
        <v>728</v>
      </c>
      <c r="K1422" t="s">
        <v>25</v>
      </c>
      <c r="L1422" t="s">
        <v>30</v>
      </c>
      <c r="M1422" t="b">
        <v>1</v>
      </c>
      <c r="N1422" t="s">
        <v>31</v>
      </c>
      <c r="Q1422" t="b">
        <v>1</v>
      </c>
      <c r="S1422" t="str">
        <f>"9780310247494"</f>
        <v>9780310247494</v>
      </c>
      <c r="T1422" t="str">
        <f>"9780310295129"</f>
        <v>9780310295129</v>
      </c>
      <c r="U1422" t="b">
        <v>0</v>
      </c>
      <c r="W1422" t="b">
        <v>0</v>
      </c>
    </row>
    <row r="1423" spans="1:23" x14ac:dyDescent="0.3">
      <c r="A1423">
        <v>2981669</v>
      </c>
      <c r="B1423">
        <v>63.93</v>
      </c>
      <c r="C1423" t="s">
        <v>3127</v>
      </c>
      <c r="D1423" t="s">
        <v>854</v>
      </c>
      <c r="E1423" t="s">
        <v>23</v>
      </c>
      <c r="F1423" t="s">
        <v>44</v>
      </c>
      <c r="G1423">
        <v>2016</v>
      </c>
      <c r="H1423" t="s">
        <v>732</v>
      </c>
      <c r="K1423" t="s">
        <v>25</v>
      </c>
      <c r="L1423" t="s">
        <v>26</v>
      </c>
      <c r="M1423" t="b">
        <v>1</v>
      </c>
      <c r="N1423" t="s">
        <v>855</v>
      </c>
      <c r="Q1423" t="b">
        <v>0</v>
      </c>
      <c r="S1423" t="str">
        <f>"9780310493983"</f>
        <v>9780310493983</v>
      </c>
      <c r="T1423" t="str">
        <f>"9780310536192"</f>
        <v>9780310536192</v>
      </c>
      <c r="U1423" t="b">
        <v>0</v>
      </c>
      <c r="W1423" t="b">
        <v>0</v>
      </c>
    </row>
    <row r="1424" spans="1:23" x14ac:dyDescent="0.3">
      <c r="A1424">
        <v>2981668</v>
      </c>
      <c r="B1424">
        <v>42.61</v>
      </c>
      <c r="C1424" t="s">
        <v>3128</v>
      </c>
      <c r="D1424" t="s">
        <v>2266</v>
      </c>
      <c r="E1424" t="s">
        <v>23</v>
      </c>
      <c r="F1424" t="s">
        <v>44</v>
      </c>
      <c r="G1424">
        <v>2011</v>
      </c>
      <c r="H1424" t="s">
        <v>748</v>
      </c>
      <c r="K1424" t="s">
        <v>25</v>
      </c>
      <c r="L1424" t="s">
        <v>30</v>
      </c>
      <c r="M1424" t="b">
        <v>1</v>
      </c>
      <c r="N1424" t="s">
        <v>44</v>
      </c>
      <c r="Q1424" t="b">
        <v>0</v>
      </c>
      <c r="T1424" t="str">
        <f>"9780310419822"</f>
        <v>9780310419822</v>
      </c>
      <c r="U1424" t="b">
        <v>0</v>
      </c>
      <c r="V1424" t="s">
        <v>1775</v>
      </c>
      <c r="W1424" t="b">
        <v>0</v>
      </c>
    </row>
    <row r="1425" spans="1:23" x14ac:dyDescent="0.3">
      <c r="A1425">
        <v>2981667</v>
      </c>
      <c r="B1425">
        <v>62.07</v>
      </c>
      <c r="C1425" t="s">
        <v>3129</v>
      </c>
      <c r="D1425" t="s">
        <v>3130</v>
      </c>
      <c r="E1425" t="s">
        <v>23</v>
      </c>
      <c r="F1425" t="s">
        <v>44</v>
      </c>
      <c r="G1425">
        <v>2020</v>
      </c>
      <c r="H1425" t="s">
        <v>24</v>
      </c>
      <c r="K1425" t="s">
        <v>25</v>
      </c>
      <c r="L1425" t="s">
        <v>26</v>
      </c>
      <c r="M1425" t="b">
        <v>1</v>
      </c>
      <c r="N1425" t="s">
        <v>3057</v>
      </c>
      <c r="Q1425" t="b">
        <v>0</v>
      </c>
      <c r="S1425" t="str">
        <f>"9780310361138"</f>
        <v>9780310361138</v>
      </c>
      <c r="T1425" t="str">
        <f>"9780310361145"</f>
        <v>9780310361145</v>
      </c>
      <c r="U1425" t="b">
        <v>0</v>
      </c>
      <c r="W1425" t="b">
        <v>0</v>
      </c>
    </row>
    <row r="1426" spans="1:23" x14ac:dyDescent="0.3">
      <c r="A1426">
        <v>2981666</v>
      </c>
      <c r="B1426">
        <v>51.72</v>
      </c>
      <c r="C1426" t="s">
        <v>3131</v>
      </c>
      <c r="D1426" t="s">
        <v>3132</v>
      </c>
      <c r="E1426" t="s">
        <v>23</v>
      </c>
      <c r="F1426" t="s">
        <v>44</v>
      </c>
      <c r="G1426">
        <v>2008</v>
      </c>
      <c r="H1426" t="s">
        <v>58</v>
      </c>
      <c r="K1426" t="s">
        <v>25</v>
      </c>
      <c r="L1426" t="s">
        <v>30</v>
      </c>
      <c r="M1426" t="b">
        <v>1</v>
      </c>
      <c r="N1426" t="s">
        <v>3133</v>
      </c>
      <c r="Q1426" t="b">
        <v>0</v>
      </c>
      <c r="S1426" t="str">
        <f>"9780310285977"</f>
        <v>9780310285977</v>
      </c>
      <c r="T1426" t="str">
        <f>"9780310563778"</f>
        <v>9780310563778</v>
      </c>
      <c r="U1426" t="b">
        <v>0</v>
      </c>
      <c r="W1426" t="b">
        <v>0</v>
      </c>
    </row>
    <row r="1427" spans="1:23" x14ac:dyDescent="0.3">
      <c r="A1427">
        <v>2981665</v>
      </c>
      <c r="B1427">
        <v>58.62</v>
      </c>
      <c r="C1427" t="s">
        <v>3134</v>
      </c>
      <c r="D1427" t="s">
        <v>3135</v>
      </c>
      <c r="E1427" t="s">
        <v>23</v>
      </c>
      <c r="F1427" t="s">
        <v>44</v>
      </c>
      <c r="G1427">
        <v>2012</v>
      </c>
      <c r="H1427" t="s">
        <v>58</v>
      </c>
      <c r="K1427" t="s">
        <v>25</v>
      </c>
      <c r="L1427" t="s">
        <v>26</v>
      </c>
      <c r="M1427" t="b">
        <v>1</v>
      </c>
      <c r="N1427" t="s">
        <v>2616</v>
      </c>
      <c r="Q1427" t="b">
        <v>0</v>
      </c>
      <c r="S1427" t="str">
        <f>"9780310275954"</f>
        <v>9780310275954</v>
      </c>
      <c r="T1427" t="str">
        <f>"9780310413448"</f>
        <v>9780310413448</v>
      </c>
      <c r="U1427" t="b">
        <v>0</v>
      </c>
      <c r="W1427" t="b">
        <v>0</v>
      </c>
    </row>
    <row r="1428" spans="1:23" x14ac:dyDescent="0.3">
      <c r="A1428">
        <v>2981663</v>
      </c>
      <c r="B1428">
        <v>42.61</v>
      </c>
      <c r="C1428" t="s">
        <v>3136</v>
      </c>
      <c r="E1428" t="s">
        <v>23</v>
      </c>
      <c r="F1428" t="s">
        <v>44</v>
      </c>
      <c r="G1428">
        <v>2008</v>
      </c>
      <c r="H1428" t="s">
        <v>728</v>
      </c>
      <c r="K1428" t="s">
        <v>25</v>
      </c>
      <c r="L1428" t="s">
        <v>30</v>
      </c>
      <c r="M1428" t="b">
        <v>1</v>
      </c>
      <c r="N1428" t="s">
        <v>31</v>
      </c>
      <c r="P1428" t="s">
        <v>2729</v>
      </c>
      <c r="Q1428" t="b">
        <v>1</v>
      </c>
      <c r="T1428" t="str">
        <f>"9780310296232"</f>
        <v>9780310296232</v>
      </c>
      <c r="U1428" t="b">
        <v>0</v>
      </c>
      <c r="W1428" t="b">
        <v>0</v>
      </c>
    </row>
    <row r="1429" spans="1:23" x14ac:dyDescent="0.3">
      <c r="A1429">
        <v>2981662</v>
      </c>
      <c r="B1429">
        <v>39.049999999999997</v>
      </c>
      <c r="C1429" t="s">
        <v>3137</v>
      </c>
      <c r="E1429" t="s">
        <v>23</v>
      </c>
      <c r="F1429" t="s">
        <v>44</v>
      </c>
      <c r="G1429">
        <v>2009</v>
      </c>
      <c r="H1429" t="s">
        <v>74</v>
      </c>
      <c r="K1429" t="s">
        <v>25</v>
      </c>
      <c r="L1429" t="s">
        <v>30</v>
      </c>
      <c r="M1429" t="b">
        <v>1</v>
      </c>
      <c r="N1429" t="s">
        <v>2726</v>
      </c>
      <c r="Q1429" t="b">
        <v>1</v>
      </c>
      <c r="T1429" t="str">
        <f>"9780310296881"</f>
        <v>9780310296881</v>
      </c>
      <c r="U1429" t="b">
        <v>0</v>
      </c>
      <c r="W1429" t="b">
        <v>0</v>
      </c>
    </row>
    <row r="1430" spans="1:23" x14ac:dyDescent="0.3">
      <c r="A1430">
        <v>2981661</v>
      </c>
      <c r="B1430">
        <v>39.049999999999997</v>
      </c>
      <c r="C1430" t="s">
        <v>3138</v>
      </c>
      <c r="D1430" t="s">
        <v>1405</v>
      </c>
      <c r="E1430" t="s">
        <v>23</v>
      </c>
      <c r="F1430" t="s">
        <v>44</v>
      </c>
      <c r="G1430">
        <v>2009</v>
      </c>
      <c r="H1430" t="s">
        <v>74</v>
      </c>
      <c r="K1430" t="s">
        <v>25</v>
      </c>
      <c r="L1430" t="s">
        <v>30</v>
      </c>
      <c r="M1430" t="b">
        <v>1</v>
      </c>
      <c r="N1430" t="s">
        <v>3139</v>
      </c>
      <c r="Q1430" t="b">
        <v>1</v>
      </c>
      <c r="T1430" t="str">
        <f>"9780310316251"</f>
        <v>9780310316251</v>
      </c>
      <c r="U1430" t="b">
        <v>0</v>
      </c>
      <c r="W1430" t="b">
        <v>0</v>
      </c>
    </row>
    <row r="1431" spans="1:23" x14ac:dyDescent="0.3">
      <c r="A1431">
        <v>2981660</v>
      </c>
      <c r="B1431">
        <v>34.47</v>
      </c>
      <c r="C1431" t="s">
        <v>3140</v>
      </c>
      <c r="D1431" t="s">
        <v>3141</v>
      </c>
      <c r="E1431" t="s">
        <v>23</v>
      </c>
      <c r="F1431" t="s">
        <v>44</v>
      </c>
      <c r="G1431">
        <v>2015</v>
      </c>
      <c r="H1431" t="s">
        <v>1293</v>
      </c>
      <c r="K1431" t="s">
        <v>25</v>
      </c>
      <c r="L1431" t="s">
        <v>30</v>
      </c>
      <c r="M1431" t="b">
        <v>1</v>
      </c>
      <c r="N1431" t="s">
        <v>1361</v>
      </c>
      <c r="P1431" t="s">
        <v>130</v>
      </c>
      <c r="Q1431" t="b">
        <v>0</v>
      </c>
      <c r="S1431" t="str">
        <f>"9780310736578"</f>
        <v>9780310736578</v>
      </c>
      <c r="T1431" t="str">
        <f>"9780310736592"</f>
        <v>9780310736592</v>
      </c>
      <c r="U1431" t="b">
        <v>0</v>
      </c>
      <c r="W1431" t="b">
        <v>0</v>
      </c>
    </row>
    <row r="1432" spans="1:23" x14ac:dyDescent="0.3">
      <c r="A1432">
        <v>2981659</v>
      </c>
      <c r="B1432">
        <v>35.5</v>
      </c>
      <c r="C1432" t="s">
        <v>3142</v>
      </c>
      <c r="D1432" t="s">
        <v>2834</v>
      </c>
      <c r="E1432" t="s">
        <v>23</v>
      </c>
      <c r="F1432" t="s">
        <v>44</v>
      </c>
      <c r="G1432">
        <v>2011</v>
      </c>
      <c r="H1432" t="s">
        <v>62</v>
      </c>
      <c r="K1432" t="s">
        <v>25</v>
      </c>
      <c r="L1432" t="s">
        <v>30</v>
      </c>
      <c r="M1432" t="b">
        <v>1</v>
      </c>
      <c r="N1432" t="s">
        <v>44</v>
      </c>
      <c r="Q1432" t="b">
        <v>0</v>
      </c>
      <c r="T1432" t="str">
        <f>"9780310870425"</f>
        <v>9780310870425</v>
      </c>
      <c r="U1432" t="b">
        <v>0</v>
      </c>
      <c r="W1432" t="b">
        <v>0</v>
      </c>
    </row>
    <row r="1433" spans="1:23" x14ac:dyDescent="0.3">
      <c r="A1433">
        <v>2981658</v>
      </c>
      <c r="B1433">
        <v>55.17</v>
      </c>
      <c r="C1433" t="s">
        <v>3143</v>
      </c>
      <c r="E1433" t="s">
        <v>23</v>
      </c>
      <c r="F1433" t="s">
        <v>44</v>
      </c>
      <c r="G1433">
        <v>2013</v>
      </c>
      <c r="H1433" t="s">
        <v>728</v>
      </c>
      <c r="K1433" t="s">
        <v>25</v>
      </c>
      <c r="L1433" t="s">
        <v>30</v>
      </c>
      <c r="M1433" t="b">
        <v>1</v>
      </c>
      <c r="N1433" t="s">
        <v>3144</v>
      </c>
      <c r="P1433" t="s">
        <v>3145</v>
      </c>
      <c r="Q1433" t="b">
        <v>1</v>
      </c>
      <c r="S1433" t="str">
        <f>"9780310335122"</f>
        <v>9780310335122</v>
      </c>
      <c r="T1433" t="str">
        <f>"9780310335146"</f>
        <v>9780310335146</v>
      </c>
      <c r="U1433" t="b">
        <v>0</v>
      </c>
      <c r="W1433" t="b">
        <v>0</v>
      </c>
    </row>
    <row r="1434" spans="1:23" x14ac:dyDescent="0.3">
      <c r="A1434">
        <v>2981657</v>
      </c>
      <c r="B1434">
        <v>28.39</v>
      </c>
      <c r="C1434" t="s">
        <v>3146</v>
      </c>
      <c r="E1434" t="s">
        <v>23</v>
      </c>
      <c r="F1434" t="s">
        <v>44</v>
      </c>
      <c r="G1434">
        <v>2009</v>
      </c>
      <c r="H1434" t="s">
        <v>3147</v>
      </c>
      <c r="K1434" t="s">
        <v>25</v>
      </c>
      <c r="L1434" t="s">
        <v>30</v>
      </c>
      <c r="M1434" t="b">
        <v>1</v>
      </c>
      <c r="N1434" t="s">
        <v>3148</v>
      </c>
      <c r="P1434" t="s">
        <v>3149</v>
      </c>
      <c r="Q1434" t="b">
        <v>0</v>
      </c>
      <c r="T1434" t="str">
        <f>"9780310569077"</f>
        <v>9780310569077</v>
      </c>
      <c r="U1434" t="b">
        <v>0</v>
      </c>
      <c r="W1434" t="b">
        <v>0</v>
      </c>
    </row>
    <row r="1435" spans="1:23" x14ac:dyDescent="0.3">
      <c r="A1435">
        <v>2981656</v>
      </c>
      <c r="B1435">
        <v>10.32</v>
      </c>
      <c r="C1435" t="s">
        <v>3150</v>
      </c>
      <c r="D1435" t="s">
        <v>3151</v>
      </c>
      <c r="E1435" t="s">
        <v>23</v>
      </c>
      <c r="F1435" t="s">
        <v>44</v>
      </c>
      <c r="G1435">
        <v>2009</v>
      </c>
      <c r="H1435" t="s">
        <v>99</v>
      </c>
      <c r="K1435" t="s">
        <v>25</v>
      </c>
      <c r="L1435" t="s">
        <v>30</v>
      </c>
      <c r="M1435" t="b">
        <v>1</v>
      </c>
      <c r="N1435" t="s">
        <v>915</v>
      </c>
      <c r="Q1435" t="b">
        <v>0</v>
      </c>
      <c r="S1435" t="str">
        <f>"9780310340591"</f>
        <v>9780310340591</v>
      </c>
      <c r="T1435" t="str">
        <f>"9780310858140"</f>
        <v>9780310858140</v>
      </c>
      <c r="U1435" t="b">
        <v>0</v>
      </c>
      <c r="W1435" t="b">
        <v>0</v>
      </c>
    </row>
    <row r="1436" spans="1:23" x14ac:dyDescent="0.3">
      <c r="A1436">
        <v>2981655</v>
      </c>
      <c r="B1436">
        <v>58.62</v>
      </c>
      <c r="C1436" t="s">
        <v>3152</v>
      </c>
      <c r="E1436" t="s">
        <v>23</v>
      </c>
      <c r="F1436" t="s">
        <v>44</v>
      </c>
      <c r="G1436">
        <v>2009</v>
      </c>
      <c r="H1436" t="s">
        <v>58</v>
      </c>
      <c r="K1436" t="s">
        <v>25</v>
      </c>
      <c r="L1436" t="s">
        <v>26</v>
      </c>
      <c r="M1436" t="b">
        <v>1</v>
      </c>
      <c r="N1436" t="s">
        <v>2616</v>
      </c>
      <c r="Q1436" t="b">
        <v>0</v>
      </c>
      <c r="S1436" t="str">
        <f>"9780310340478"</f>
        <v>9780310340478</v>
      </c>
      <c r="T1436" t="str">
        <f>"9780310565819"</f>
        <v>9780310565819</v>
      </c>
      <c r="U1436" t="b">
        <v>0</v>
      </c>
      <c r="W1436" t="b">
        <v>0</v>
      </c>
    </row>
    <row r="1437" spans="1:23" x14ac:dyDescent="0.3">
      <c r="A1437">
        <v>2981654</v>
      </c>
      <c r="B1437">
        <v>44.82</v>
      </c>
      <c r="C1437" t="s">
        <v>3153</v>
      </c>
      <c r="E1437" t="s">
        <v>23</v>
      </c>
      <c r="F1437" t="s">
        <v>44</v>
      </c>
      <c r="G1437">
        <v>2009</v>
      </c>
      <c r="H1437" t="s">
        <v>728</v>
      </c>
      <c r="K1437" t="s">
        <v>25</v>
      </c>
      <c r="L1437" t="s">
        <v>30</v>
      </c>
      <c r="M1437" t="b">
        <v>1</v>
      </c>
      <c r="N1437" t="s">
        <v>3110</v>
      </c>
      <c r="Q1437" t="b">
        <v>1</v>
      </c>
      <c r="S1437" t="str">
        <f>"9780310263517"</f>
        <v>9780310263517</v>
      </c>
      <c r="T1437" t="str">
        <f>"9780310540601"</f>
        <v>9780310540601</v>
      </c>
      <c r="U1437" t="b">
        <v>0</v>
      </c>
      <c r="W1437" t="b">
        <v>0</v>
      </c>
    </row>
    <row r="1438" spans="1:23" x14ac:dyDescent="0.3">
      <c r="A1438">
        <v>2981653</v>
      </c>
      <c r="B1438">
        <v>44.82</v>
      </c>
      <c r="C1438" t="s">
        <v>3154</v>
      </c>
      <c r="E1438" t="s">
        <v>23</v>
      </c>
      <c r="F1438" t="s">
        <v>44</v>
      </c>
      <c r="G1438">
        <v>2009</v>
      </c>
      <c r="H1438" t="s">
        <v>2535</v>
      </c>
      <c r="K1438" t="s">
        <v>25</v>
      </c>
      <c r="L1438" t="s">
        <v>30</v>
      </c>
      <c r="M1438" t="b">
        <v>1</v>
      </c>
      <c r="N1438" t="s">
        <v>2669</v>
      </c>
      <c r="P1438" t="s">
        <v>2670</v>
      </c>
      <c r="Q1438" t="b">
        <v>1</v>
      </c>
      <c r="S1438" t="str">
        <f>"9780310263012"</f>
        <v>9780310263012</v>
      </c>
      <c r="T1438" t="str">
        <f>"9780310298748"</f>
        <v>9780310298748</v>
      </c>
      <c r="U1438" t="b">
        <v>0</v>
      </c>
      <c r="W1438" t="b">
        <v>0</v>
      </c>
    </row>
    <row r="1439" spans="1:23" x14ac:dyDescent="0.3">
      <c r="A1439">
        <v>2981652</v>
      </c>
      <c r="B1439">
        <v>58.62</v>
      </c>
      <c r="C1439" t="s">
        <v>3155</v>
      </c>
      <c r="D1439" t="s">
        <v>3006</v>
      </c>
      <c r="E1439" t="s">
        <v>23</v>
      </c>
      <c r="F1439" t="s">
        <v>44</v>
      </c>
      <c r="G1439">
        <v>2010</v>
      </c>
      <c r="H1439" t="s">
        <v>132</v>
      </c>
      <c r="K1439" t="s">
        <v>25</v>
      </c>
      <c r="L1439" t="s">
        <v>30</v>
      </c>
      <c r="M1439" t="b">
        <v>1</v>
      </c>
      <c r="N1439" t="s">
        <v>3007</v>
      </c>
      <c r="Q1439" t="b">
        <v>0</v>
      </c>
      <c r="S1439" t="str">
        <f>"9780310329312"</f>
        <v>9780310329312</v>
      </c>
      <c r="T1439" t="str">
        <f>"9780310591825"</f>
        <v>9780310591825</v>
      </c>
      <c r="U1439" t="b">
        <v>0</v>
      </c>
      <c r="W1439" t="b">
        <v>0</v>
      </c>
    </row>
    <row r="1440" spans="1:23" x14ac:dyDescent="0.3">
      <c r="A1440">
        <v>2981651</v>
      </c>
      <c r="B1440">
        <v>42.61</v>
      </c>
      <c r="C1440" t="s">
        <v>3156</v>
      </c>
      <c r="D1440" t="s">
        <v>3157</v>
      </c>
      <c r="E1440" t="s">
        <v>23</v>
      </c>
      <c r="F1440" t="s">
        <v>44</v>
      </c>
      <c r="G1440">
        <v>2015</v>
      </c>
      <c r="H1440" t="s">
        <v>69</v>
      </c>
      <c r="I1440" t="s">
        <v>3158</v>
      </c>
      <c r="J1440" t="s">
        <v>3159</v>
      </c>
      <c r="K1440" t="s">
        <v>25</v>
      </c>
      <c r="L1440" t="s">
        <v>26</v>
      </c>
      <c r="M1440" t="b">
        <v>1</v>
      </c>
      <c r="N1440" t="s">
        <v>2641</v>
      </c>
      <c r="O1440" t="str">
        <f>"248.4"</f>
        <v>248.4</v>
      </c>
      <c r="Q1440" t="b">
        <v>0</v>
      </c>
      <c r="T1440" t="str">
        <f>"9780310340669"</f>
        <v>9780310340669</v>
      </c>
      <c r="U1440" t="b">
        <v>0</v>
      </c>
      <c r="W1440" t="b">
        <v>0</v>
      </c>
    </row>
    <row r="1441" spans="1:23" x14ac:dyDescent="0.3">
      <c r="A1441">
        <v>2981584</v>
      </c>
      <c r="B1441">
        <v>51.72</v>
      </c>
      <c r="C1441" t="s">
        <v>3160</v>
      </c>
      <c r="D1441" t="s">
        <v>3161</v>
      </c>
      <c r="E1441" t="s">
        <v>23</v>
      </c>
      <c r="F1441" t="s">
        <v>44</v>
      </c>
      <c r="G1441">
        <v>2020</v>
      </c>
      <c r="H1441" t="s">
        <v>70</v>
      </c>
      <c r="K1441" t="s">
        <v>25</v>
      </c>
      <c r="L1441" t="s">
        <v>26</v>
      </c>
      <c r="M1441" t="b">
        <v>1</v>
      </c>
      <c r="N1441" t="s">
        <v>2911</v>
      </c>
      <c r="Q1441" t="b">
        <v>0</v>
      </c>
      <c r="S1441" t="str">
        <f>"9780310100799"</f>
        <v>9780310100799</v>
      </c>
      <c r="T1441" t="str">
        <f>"9780310100805"</f>
        <v>9780310100805</v>
      </c>
      <c r="U1441" t="b">
        <v>0</v>
      </c>
      <c r="W1441" t="b">
        <v>0</v>
      </c>
    </row>
    <row r="1442" spans="1:23" x14ac:dyDescent="0.3">
      <c r="A1442">
        <v>2981583</v>
      </c>
      <c r="B1442">
        <v>42.61</v>
      </c>
      <c r="C1442" t="s">
        <v>3162</v>
      </c>
      <c r="D1442" t="s">
        <v>3163</v>
      </c>
      <c r="E1442" t="s">
        <v>23</v>
      </c>
      <c r="F1442" t="s">
        <v>44</v>
      </c>
      <c r="G1442">
        <v>2009</v>
      </c>
      <c r="H1442" t="s">
        <v>62</v>
      </c>
      <c r="K1442" t="s">
        <v>25</v>
      </c>
      <c r="L1442" t="s">
        <v>30</v>
      </c>
      <c r="M1442" t="b">
        <v>1</v>
      </c>
      <c r="N1442" t="s">
        <v>2461</v>
      </c>
      <c r="Q1442" t="b">
        <v>0</v>
      </c>
      <c r="T1442" t="str">
        <f>"9780310564621"</f>
        <v>9780310564621</v>
      </c>
      <c r="U1442" t="b">
        <v>0</v>
      </c>
      <c r="W1442" t="b">
        <v>0</v>
      </c>
    </row>
    <row r="1443" spans="1:23" x14ac:dyDescent="0.3">
      <c r="A1443">
        <v>2981582</v>
      </c>
      <c r="B1443">
        <v>35.5</v>
      </c>
      <c r="C1443" t="s">
        <v>3164</v>
      </c>
      <c r="E1443" t="s">
        <v>23</v>
      </c>
      <c r="F1443" t="s">
        <v>44</v>
      </c>
      <c r="G1443">
        <v>2009</v>
      </c>
      <c r="H1443" t="s">
        <v>58</v>
      </c>
      <c r="K1443" t="s">
        <v>25</v>
      </c>
      <c r="L1443" t="s">
        <v>30</v>
      </c>
      <c r="M1443" t="b">
        <v>1</v>
      </c>
      <c r="N1443" t="s">
        <v>3165</v>
      </c>
      <c r="Q1443" t="b">
        <v>0</v>
      </c>
      <c r="T1443" t="str">
        <f>"9780310540403"</f>
        <v>9780310540403</v>
      </c>
      <c r="U1443" t="b">
        <v>0</v>
      </c>
      <c r="W1443" t="b">
        <v>0</v>
      </c>
    </row>
    <row r="1444" spans="1:23" x14ac:dyDescent="0.3">
      <c r="A1444">
        <v>2981581</v>
      </c>
      <c r="B1444">
        <v>51.72</v>
      </c>
      <c r="C1444" t="s">
        <v>3166</v>
      </c>
      <c r="D1444" t="s">
        <v>1405</v>
      </c>
      <c r="E1444" t="s">
        <v>23</v>
      </c>
      <c r="F1444" t="s">
        <v>44</v>
      </c>
      <c r="G1444">
        <v>2009</v>
      </c>
      <c r="H1444" t="s">
        <v>74</v>
      </c>
      <c r="K1444" t="s">
        <v>25</v>
      </c>
      <c r="L1444" t="s">
        <v>30</v>
      </c>
      <c r="M1444" t="b">
        <v>1</v>
      </c>
      <c r="N1444" t="s">
        <v>2959</v>
      </c>
      <c r="P1444" t="s">
        <v>2960</v>
      </c>
      <c r="Q1444" t="b">
        <v>1</v>
      </c>
      <c r="S1444" t="str">
        <f>"9780310278368"</f>
        <v>9780310278368</v>
      </c>
      <c r="T1444" t="str">
        <f>"9780310561156"</f>
        <v>9780310561156</v>
      </c>
      <c r="U1444" t="b">
        <v>0</v>
      </c>
      <c r="W1444" t="b">
        <v>0</v>
      </c>
    </row>
    <row r="1445" spans="1:23" x14ac:dyDescent="0.3">
      <c r="A1445">
        <v>2981580</v>
      </c>
      <c r="B1445">
        <v>42.61</v>
      </c>
      <c r="C1445" t="s">
        <v>3167</v>
      </c>
      <c r="E1445" t="s">
        <v>23</v>
      </c>
      <c r="F1445" t="s">
        <v>44</v>
      </c>
      <c r="G1445">
        <v>2008</v>
      </c>
      <c r="H1445" t="s">
        <v>66</v>
      </c>
      <c r="I1445" t="s">
        <v>3168</v>
      </c>
      <c r="J1445" t="s">
        <v>3169</v>
      </c>
      <c r="K1445" t="s">
        <v>25</v>
      </c>
      <c r="L1445" t="s">
        <v>30</v>
      </c>
      <c r="M1445" t="b">
        <v>1</v>
      </c>
      <c r="N1445" t="s">
        <v>3170</v>
      </c>
      <c r="O1445" t="str">
        <f>"813/.54"</f>
        <v>813/.54</v>
      </c>
      <c r="Q1445" t="b">
        <v>1</v>
      </c>
      <c r="T1445" t="str">
        <f>"9780310863434"</f>
        <v>9780310863434</v>
      </c>
      <c r="U1445" t="b">
        <v>0</v>
      </c>
      <c r="W1445" t="b">
        <v>0</v>
      </c>
    </row>
    <row r="1446" spans="1:23" x14ac:dyDescent="0.3">
      <c r="A1446">
        <v>2981579</v>
      </c>
      <c r="B1446">
        <v>68.97</v>
      </c>
      <c r="C1446" t="s">
        <v>3171</v>
      </c>
      <c r="D1446" t="s">
        <v>3172</v>
      </c>
      <c r="E1446" t="s">
        <v>23</v>
      </c>
      <c r="F1446" t="s">
        <v>44</v>
      </c>
      <c r="G1446">
        <v>2009</v>
      </c>
      <c r="H1446" t="s">
        <v>99</v>
      </c>
      <c r="K1446" t="s">
        <v>25</v>
      </c>
      <c r="L1446" t="s">
        <v>30</v>
      </c>
      <c r="M1446" t="b">
        <v>1</v>
      </c>
      <c r="N1446" t="s">
        <v>3173</v>
      </c>
      <c r="Q1446" t="b">
        <v>0</v>
      </c>
      <c r="S1446" t="str">
        <f>"9780310259732"</f>
        <v>9780310259732</v>
      </c>
      <c r="T1446" t="str">
        <f>"9780310315926"</f>
        <v>9780310315926</v>
      </c>
      <c r="U1446" t="b">
        <v>0</v>
      </c>
      <c r="W1446" t="b">
        <v>0</v>
      </c>
    </row>
    <row r="1447" spans="1:23" x14ac:dyDescent="0.3">
      <c r="A1447">
        <v>2981578</v>
      </c>
      <c r="B1447">
        <v>55.17</v>
      </c>
      <c r="C1447" t="s">
        <v>3174</v>
      </c>
      <c r="E1447" t="s">
        <v>23</v>
      </c>
      <c r="F1447" t="s">
        <v>44</v>
      </c>
      <c r="G1447">
        <v>2008</v>
      </c>
      <c r="H1447" t="s">
        <v>728</v>
      </c>
      <c r="K1447" t="s">
        <v>25</v>
      </c>
      <c r="L1447" t="s">
        <v>30</v>
      </c>
      <c r="M1447" t="b">
        <v>1</v>
      </c>
      <c r="N1447" t="s">
        <v>31</v>
      </c>
      <c r="P1447" t="s">
        <v>3125</v>
      </c>
      <c r="Q1447" t="b">
        <v>1</v>
      </c>
      <c r="S1447" t="str">
        <f>"9780310337843"</f>
        <v>9780310337843</v>
      </c>
      <c r="T1447" t="str">
        <f>"9780310296058"</f>
        <v>9780310296058</v>
      </c>
      <c r="U1447" t="b">
        <v>0</v>
      </c>
      <c r="W1447" t="b">
        <v>0</v>
      </c>
    </row>
    <row r="1448" spans="1:23" x14ac:dyDescent="0.3">
      <c r="A1448">
        <v>2981577</v>
      </c>
      <c r="B1448">
        <v>58.62</v>
      </c>
      <c r="C1448" t="s">
        <v>3175</v>
      </c>
      <c r="D1448" t="s">
        <v>3176</v>
      </c>
      <c r="E1448" t="s">
        <v>23</v>
      </c>
      <c r="F1448" t="s">
        <v>44</v>
      </c>
      <c r="G1448">
        <v>2009</v>
      </c>
      <c r="H1448" t="s">
        <v>69</v>
      </c>
      <c r="K1448" t="s">
        <v>25</v>
      </c>
      <c r="L1448" t="s">
        <v>30</v>
      </c>
      <c r="M1448" t="b">
        <v>1</v>
      </c>
      <c r="N1448" t="s">
        <v>3177</v>
      </c>
      <c r="Q1448" t="b">
        <v>0</v>
      </c>
      <c r="S1448" t="str">
        <f>"9780310256588"</f>
        <v>9780310256588</v>
      </c>
      <c r="T1448" t="str">
        <f>"9780310541479"</f>
        <v>9780310541479</v>
      </c>
      <c r="U1448" t="b">
        <v>0</v>
      </c>
      <c r="W1448" t="b">
        <v>0</v>
      </c>
    </row>
    <row r="1449" spans="1:23" x14ac:dyDescent="0.3">
      <c r="A1449">
        <v>2981576</v>
      </c>
      <c r="B1449">
        <v>68.97</v>
      </c>
      <c r="C1449" t="s">
        <v>2794</v>
      </c>
      <c r="D1449" t="s">
        <v>2793</v>
      </c>
      <c r="E1449" t="s">
        <v>23</v>
      </c>
      <c r="F1449" t="s">
        <v>44</v>
      </c>
      <c r="G1449">
        <v>2013</v>
      </c>
      <c r="H1449" t="s">
        <v>3178</v>
      </c>
      <c r="I1449" t="s">
        <v>3179</v>
      </c>
      <c r="J1449" t="s">
        <v>3180</v>
      </c>
      <c r="K1449" t="s">
        <v>25</v>
      </c>
      <c r="L1449" t="s">
        <v>26</v>
      </c>
      <c r="M1449" t="b">
        <v>1</v>
      </c>
      <c r="N1449" t="s">
        <v>3181</v>
      </c>
      <c r="O1449" t="str">
        <f>"613.2"</f>
        <v>613.2</v>
      </c>
      <c r="P1449" t="s">
        <v>2794</v>
      </c>
      <c r="Q1449" t="b">
        <v>0</v>
      </c>
      <c r="S1449" t="str">
        <f>"9780310360834"</f>
        <v>9780310360834</v>
      </c>
      <c r="T1449" t="str">
        <f>"9780310344308"</f>
        <v>9780310344308</v>
      </c>
      <c r="U1449" t="b">
        <v>0</v>
      </c>
      <c r="W1449" t="b">
        <v>0</v>
      </c>
    </row>
    <row r="1450" spans="1:23" x14ac:dyDescent="0.3">
      <c r="A1450">
        <v>2981575</v>
      </c>
      <c r="B1450">
        <v>44.82</v>
      </c>
      <c r="C1450" t="s">
        <v>3182</v>
      </c>
      <c r="E1450" t="s">
        <v>23</v>
      </c>
      <c r="F1450" t="s">
        <v>44</v>
      </c>
      <c r="G1450">
        <v>2009</v>
      </c>
      <c r="H1450" t="s">
        <v>58</v>
      </c>
      <c r="K1450" t="s">
        <v>25</v>
      </c>
      <c r="L1450" t="s">
        <v>30</v>
      </c>
      <c r="M1450" t="b">
        <v>1</v>
      </c>
      <c r="N1450" t="s">
        <v>3183</v>
      </c>
      <c r="P1450" t="s">
        <v>3184</v>
      </c>
      <c r="Q1450" t="b">
        <v>0</v>
      </c>
      <c r="S1450" t="str">
        <f>"9780310272663"</f>
        <v>9780310272663</v>
      </c>
      <c r="T1450" t="str">
        <f>"9780310858744"</f>
        <v>9780310858744</v>
      </c>
      <c r="U1450" t="b">
        <v>0</v>
      </c>
      <c r="W1450" t="b">
        <v>0</v>
      </c>
    </row>
    <row r="1451" spans="1:23" x14ac:dyDescent="0.3">
      <c r="A1451">
        <v>2981574</v>
      </c>
      <c r="B1451">
        <v>42.61</v>
      </c>
      <c r="C1451" t="s">
        <v>3185</v>
      </c>
      <c r="E1451" t="s">
        <v>23</v>
      </c>
      <c r="F1451" t="s">
        <v>44</v>
      </c>
      <c r="G1451">
        <v>2009</v>
      </c>
      <c r="H1451" t="s">
        <v>66</v>
      </c>
      <c r="K1451" t="s">
        <v>25</v>
      </c>
      <c r="L1451" t="s">
        <v>30</v>
      </c>
      <c r="M1451" t="b">
        <v>1</v>
      </c>
      <c r="N1451" t="s">
        <v>3186</v>
      </c>
      <c r="Q1451" t="b">
        <v>1</v>
      </c>
      <c r="T1451" t="str">
        <f>"9780310565741"</f>
        <v>9780310565741</v>
      </c>
      <c r="U1451" t="b">
        <v>0</v>
      </c>
      <c r="W1451" t="b">
        <v>0</v>
      </c>
    </row>
    <row r="1452" spans="1:23" x14ac:dyDescent="0.3">
      <c r="A1452">
        <v>2981573</v>
      </c>
      <c r="B1452">
        <v>42.61</v>
      </c>
      <c r="C1452" t="s">
        <v>3187</v>
      </c>
      <c r="D1452" t="s">
        <v>3188</v>
      </c>
      <c r="E1452" t="s">
        <v>23</v>
      </c>
      <c r="F1452" t="s">
        <v>44</v>
      </c>
      <c r="G1452">
        <v>2008</v>
      </c>
      <c r="H1452" t="s">
        <v>58</v>
      </c>
      <c r="K1452" t="s">
        <v>25</v>
      </c>
      <c r="L1452" t="s">
        <v>30</v>
      </c>
      <c r="M1452" t="b">
        <v>1</v>
      </c>
      <c r="N1452" t="s">
        <v>3189</v>
      </c>
      <c r="Q1452" t="b">
        <v>0</v>
      </c>
      <c r="T1452" t="str">
        <f>"9780310313052"</f>
        <v>9780310313052</v>
      </c>
      <c r="U1452" t="b">
        <v>0</v>
      </c>
      <c r="W1452" t="b">
        <v>0</v>
      </c>
    </row>
    <row r="1453" spans="1:23" x14ac:dyDescent="0.3">
      <c r="A1453">
        <v>2981572</v>
      </c>
      <c r="B1453">
        <v>65.52</v>
      </c>
      <c r="C1453" t="s">
        <v>3190</v>
      </c>
      <c r="D1453" t="s">
        <v>3191</v>
      </c>
      <c r="E1453" t="s">
        <v>23</v>
      </c>
      <c r="F1453" t="s">
        <v>44</v>
      </c>
      <c r="G1453">
        <v>2018</v>
      </c>
      <c r="H1453" t="s">
        <v>24</v>
      </c>
      <c r="K1453" t="s">
        <v>25</v>
      </c>
      <c r="L1453" t="s">
        <v>26</v>
      </c>
      <c r="M1453" t="b">
        <v>1</v>
      </c>
      <c r="N1453" t="s">
        <v>3192</v>
      </c>
      <c r="Q1453" t="b">
        <v>0</v>
      </c>
      <c r="S1453" t="str">
        <f>"9780310350606"</f>
        <v>9780310350606</v>
      </c>
      <c r="T1453" t="str">
        <f>"9780310350613"</f>
        <v>9780310350613</v>
      </c>
      <c r="U1453" t="b">
        <v>0</v>
      </c>
      <c r="W1453" t="b">
        <v>0</v>
      </c>
    </row>
    <row r="1454" spans="1:23" x14ac:dyDescent="0.3">
      <c r="A1454">
        <v>2981571</v>
      </c>
      <c r="B1454">
        <v>63.93</v>
      </c>
      <c r="C1454" t="s">
        <v>3193</v>
      </c>
      <c r="D1454" t="s">
        <v>3194</v>
      </c>
      <c r="E1454" t="s">
        <v>23</v>
      </c>
      <c r="F1454" t="s">
        <v>44</v>
      </c>
      <c r="G1454">
        <v>2018</v>
      </c>
      <c r="H1454" t="s">
        <v>58</v>
      </c>
      <c r="K1454" t="s">
        <v>25</v>
      </c>
      <c r="L1454" t="s">
        <v>26</v>
      </c>
      <c r="M1454" t="b">
        <v>1</v>
      </c>
      <c r="N1454" t="s">
        <v>3195</v>
      </c>
      <c r="Q1454" t="b">
        <v>0</v>
      </c>
      <c r="S1454" t="str">
        <f>"9780310352334"</f>
        <v>9780310352334</v>
      </c>
      <c r="T1454" t="str">
        <f>"9780310352358"</f>
        <v>9780310352358</v>
      </c>
      <c r="U1454" t="b">
        <v>0</v>
      </c>
      <c r="W1454" t="b">
        <v>0</v>
      </c>
    </row>
    <row r="1455" spans="1:23" x14ac:dyDescent="0.3">
      <c r="A1455">
        <v>2981570</v>
      </c>
      <c r="B1455">
        <v>42.61</v>
      </c>
      <c r="C1455" t="s">
        <v>3196</v>
      </c>
      <c r="D1455" t="s">
        <v>3197</v>
      </c>
      <c r="E1455" t="s">
        <v>23</v>
      </c>
      <c r="F1455" t="s">
        <v>44</v>
      </c>
      <c r="G1455">
        <v>2008</v>
      </c>
      <c r="H1455" t="s">
        <v>3198</v>
      </c>
      <c r="K1455" t="s">
        <v>25</v>
      </c>
      <c r="L1455" t="s">
        <v>30</v>
      </c>
      <c r="M1455" t="b">
        <v>1</v>
      </c>
      <c r="N1455" t="s">
        <v>3199</v>
      </c>
      <c r="Q1455" t="b">
        <v>0</v>
      </c>
      <c r="T1455" t="str">
        <f>"9780310296348"</f>
        <v>9780310296348</v>
      </c>
      <c r="U1455" t="b">
        <v>0</v>
      </c>
      <c r="W1455" t="b">
        <v>0</v>
      </c>
    </row>
    <row r="1456" spans="1:23" x14ac:dyDescent="0.3">
      <c r="A1456">
        <v>2981569</v>
      </c>
      <c r="B1456">
        <v>34.47</v>
      </c>
      <c r="C1456" t="s">
        <v>3200</v>
      </c>
      <c r="E1456" t="s">
        <v>23</v>
      </c>
      <c r="F1456" t="s">
        <v>44</v>
      </c>
      <c r="G1456">
        <v>2011</v>
      </c>
      <c r="H1456" t="s">
        <v>24</v>
      </c>
      <c r="K1456" t="s">
        <v>25</v>
      </c>
      <c r="L1456" t="s">
        <v>30</v>
      </c>
      <c r="M1456" t="b">
        <v>1</v>
      </c>
      <c r="N1456" t="s">
        <v>1270</v>
      </c>
      <c r="P1456" t="s">
        <v>3201</v>
      </c>
      <c r="Q1456" t="b">
        <v>0</v>
      </c>
      <c r="S1456" t="str">
        <f>"9780310925521"</f>
        <v>9780310925521</v>
      </c>
      <c r="T1456" t="str">
        <f>"9780310872238"</f>
        <v>9780310872238</v>
      </c>
      <c r="U1456" t="b">
        <v>0</v>
      </c>
      <c r="W1456" t="b">
        <v>0</v>
      </c>
    </row>
    <row r="1457" spans="1:23" x14ac:dyDescent="0.3">
      <c r="A1457">
        <v>2981568</v>
      </c>
      <c r="B1457">
        <v>56.82</v>
      </c>
      <c r="C1457" t="s">
        <v>3202</v>
      </c>
      <c r="D1457" t="s">
        <v>3203</v>
      </c>
      <c r="E1457" t="s">
        <v>23</v>
      </c>
      <c r="F1457" t="s">
        <v>44</v>
      </c>
      <c r="G1457">
        <v>2009</v>
      </c>
      <c r="H1457" t="s">
        <v>107</v>
      </c>
      <c r="K1457" t="s">
        <v>25</v>
      </c>
      <c r="L1457" t="s">
        <v>30</v>
      </c>
      <c r="M1457" t="b">
        <v>1</v>
      </c>
      <c r="N1457" t="s">
        <v>2883</v>
      </c>
      <c r="Q1457" t="b">
        <v>0</v>
      </c>
      <c r="T1457" t="str">
        <f>"9780310563228"</f>
        <v>9780310563228</v>
      </c>
      <c r="U1457" t="b">
        <v>0</v>
      </c>
      <c r="W1457" t="b">
        <v>0</v>
      </c>
    </row>
    <row r="1458" spans="1:23" x14ac:dyDescent="0.3">
      <c r="A1458">
        <v>2981567</v>
      </c>
      <c r="B1458">
        <v>39.049999999999997</v>
      </c>
      <c r="C1458" t="s">
        <v>3204</v>
      </c>
      <c r="D1458" t="s">
        <v>3205</v>
      </c>
      <c r="E1458" t="s">
        <v>23</v>
      </c>
      <c r="F1458" t="s">
        <v>44</v>
      </c>
      <c r="G1458">
        <v>2009</v>
      </c>
      <c r="H1458" t="s">
        <v>56</v>
      </c>
      <c r="K1458" t="s">
        <v>25</v>
      </c>
      <c r="L1458" t="s">
        <v>26</v>
      </c>
      <c r="M1458" t="b">
        <v>1</v>
      </c>
      <c r="N1458" t="s">
        <v>3206</v>
      </c>
      <c r="Q1458" t="b">
        <v>0</v>
      </c>
      <c r="T1458" t="str">
        <f>"9780310297239"</f>
        <v>9780310297239</v>
      </c>
      <c r="U1458" t="b">
        <v>0</v>
      </c>
      <c r="W1458" t="b">
        <v>0</v>
      </c>
    </row>
    <row r="1459" spans="1:23" x14ac:dyDescent="0.3">
      <c r="A1459">
        <v>2981566</v>
      </c>
      <c r="B1459">
        <v>34.47</v>
      </c>
      <c r="C1459" t="s">
        <v>3207</v>
      </c>
      <c r="E1459" t="s">
        <v>23</v>
      </c>
      <c r="F1459" t="s">
        <v>44</v>
      </c>
      <c r="G1459">
        <v>2008</v>
      </c>
      <c r="H1459" t="s">
        <v>3147</v>
      </c>
      <c r="K1459" t="s">
        <v>25</v>
      </c>
      <c r="L1459" t="s">
        <v>30</v>
      </c>
      <c r="M1459" t="b">
        <v>1</v>
      </c>
      <c r="N1459" t="s">
        <v>3148</v>
      </c>
      <c r="P1459" t="s">
        <v>3149</v>
      </c>
      <c r="Q1459" t="b">
        <v>0</v>
      </c>
      <c r="S1459" t="str">
        <f>"9780310715597"</f>
        <v>9780310715597</v>
      </c>
      <c r="T1459" t="str">
        <f>"9780310567516"</f>
        <v>9780310567516</v>
      </c>
      <c r="U1459" t="b">
        <v>0</v>
      </c>
      <c r="W1459" t="b">
        <v>0</v>
      </c>
    </row>
    <row r="1460" spans="1:23" x14ac:dyDescent="0.3">
      <c r="A1460">
        <v>2981565</v>
      </c>
      <c r="B1460">
        <v>51.72</v>
      </c>
      <c r="C1460" t="s">
        <v>3208</v>
      </c>
      <c r="D1460" t="s">
        <v>3209</v>
      </c>
      <c r="E1460" t="s">
        <v>23</v>
      </c>
      <c r="F1460" t="s">
        <v>44</v>
      </c>
      <c r="G1460">
        <v>2013</v>
      </c>
      <c r="H1460" t="s">
        <v>69</v>
      </c>
      <c r="K1460" t="s">
        <v>25</v>
      </c>
      <c r="L1460" t="s">
        <v>30</v>
      </c>
      <c r="M1460" t="b">
        <v>1</v>
      </c>
      <c r="N1460" t="s">
        <v>2223</v>
      </c>
      <c r="Q1460" t="b">
        <v>0</v>
      </c>
      <c r="S1460" t="str">
        <f>"9780310336884"</f>
        <v>9780310336884</v>
      </c>
      <c r="T1460" t="str">
        <f>"9780310337065"</f>
        <v>9780310337065</v>
      </c>
      <c r="U1460" t="b">
        <v>0</v>
      </c>
      <c r="W1460" t="b">
        <v>0</v>
      </c>
    </row>
    <row r="1461" spans="1:23" x14ac:dyDescent="0.3">
      <c r="A1461">
        <v>2981564</v>
      </c>
      <c r="B1461">
        <v>42.61</v>
      </c>
      <c r="C1461" t="s">
        <v>3210</v>
      </c>
      <c r="D1461" t="s">
        <v>2607</v>
      </c>
      <c r="E1461" t="s">
        <v>23</v>
      </c>
      <c r="F1461" t="s">
        <v>44</v>
      </c>
      <c r="G1461">
        <v>2009</v>
      </c>
      <c r="H1461" t="s">
        <v>74</v>
      </c>
      <c r="K1461" t="s">
        <v>25</v>
      </c>
      <c r="L1461" t="s">
        <v>26</v>
      </c>
      <c r="M1461" t="b">
        <v>1</v>
      </c>
      <c r="N1461" t="s">
        <v>3110</v>
      </c>
      <c r="Q1461" t="b">
        <v>1</v>
      </c>
      <c r="T1461" t="str">
        <f>"9780310560685"</f>
        <v>9780310560685</v>
      </c>
      <c r="U1461" t="b">
        <v>0</v>
      </c>
      <c r="W1461" t="b">
        <v>0</v>
      </c>
    </row>
    <row r="1462" spans="1:23" x14ac:dyDescent="0.3">
      <c r="A1462">
        <v>2981563</v>
      </c>
      <c r="B1462">
        <v>51.72</v>
      </c>
      <c r="C1462" t="s">
        <v>3211</v>
      </c>
      <c r="D1462" t="s">
        <v>3212</v>
      </c>
      <c r="E1462" t="s">
        <v>23</v>
      </c>
      <c r="F1462" t="s">
        <v>44</v>
      </c>
      <c r="G1462">
        <v>2021</v>
      </c>
      <c r="H1462" t="s">
        <v>107</v>
      </c>
      <c r="I1462" t="s">
        <v>3213</v>
      </c>
      <c r="J1462" t="s">
        <v>3214</v>
      </c>
      <c r="K1462" t="s">
        <v>25</v>
      </c>
      <c r="L1462" t="s">
        <v>26</v>
      </c>
      <c r="M1462" t="b">
        <v>1</v>
      </c>
      <c r="N1462" t="s">
        <v>1198</v>
      </c>
      <c r="O1462" t="str">
        <f>"305.8"</f>
        <v>305.8</v>
      </c>
      <c r="Q1462" t="b">
        <v>0</v>
      </c>
      <c r="S1462" t="str">
        <f>"9780310113225"</f>
        <v>9780310113225</v>
      </c>
      <c r="T1462" t="str">
        <f>"9780310113232"</f>
        <v>9780310113232</v>
      </c>
      <c r="U1462" t="b">
        <v>0</v>
      </c>
      <c r="W1462" t="b">
        <v>0</v>
      </c>
    </row>
    <row r="1463" spans="1:23" x14ac:dyDescent="0.3">
      <c r="A1463">
        <v>2981562</v>
      </c>
      <c r="B1463">
        <v>51.72</v>
      </c>
      <c r="C1463" t="s">
        <v>3215</v>
      </c>
      <c r="E1463" t="s">
        <v>23</v>
      </c>
      <c r="F1463" t="s">
        <v>44</v>
      </c>
      <c r="G1463">
        <v>2009</v>
      </c>
      <c r="H1463" t="s">
        <v>66</v>
      </c>
      <c r="K1463" t="s">
        <v>25</v>
      </c>
      <c r="L1463" t="s">
        <v>30</v>
      </c>
      <c r="M1463" t="b">
        <v>1</v>
      </c>
      <c r="N1463" t="s">
        <v>3186</v>
      </c>
      <c r="Q1463" t="b">
        <v>1</v>
      </c>
      <c r="S1463" t="str">
        <f>"9780310253310"</f>
        <v>9780310253310</v>
      </c>
      <c r="T1463" t="str">
        <f>"9780310541073"</f>
        <v>9780310541073</v>
      </c>
      <c r="U1463" t="b">
        <v>0</v>
      </c>
      <c r="W1463" t="b">
        <v>0</v>
      </c>
    </row>
    <row r="1464" spans="1:23" x14ac:dyDescent="0.3">
      <c r="A1464">
        <v>2981561</v>
      </c>
      <c r="B1464">
        <v>51.72</v>
      </c>
      <c r="C1464" t="s">
        <v>3216</v>
      </c>
      <c r="D1464" t="s">
        <v>1405</v>
      </c>
      <c r="E1464" t="s">
        <v>23</v>
      </c>
      <c r="F1464" t="s">
        <v>44</v>
      </c>
      <c r="G1464">
        <v>2009</v>
      </c>
      <c r="H1464" t="s">
        <v>66</v>
      </c>
      <c r="K1464" t="s">
        <v>25</v>
      </c>
      <c r="L1464" t="s">
        <v>30</v>
      </c>
      <c r="M1464" t="b">
        <v>1</v>
      </c>
      <c r="N1464" t="s">
        <v>2709</v>
      </c>
      <c r="Q1464" t="b">
        <v>1</v>
      </c>
      <c r="S1464" t="str">
        <f>"9780310276432"</f>
        <v>9780310276432</v>
      </c>
      <c r="T1464" t="str">
        <f>"9780310561484"</f>
        <v>9780310561484</v>
      </c>
      <c r="U1464" t="b">
        <v>0</v>
      </c>
      <c r="W1464" t="b">
        <v>0</v>
      </c>
    </row>
    <row r="1465" spans="1:23" x14ac:dyDescent="0.3">
      <c r="A1465">
        <v>2981560</v>
      </c>
      <c r="B1465">
        <v>58.62</v>
      </c>
      <c r="C1465" t="s">
        <v>3217</v>
      </c>
      <c r="D1465" t="s">
        <v>3218</v>
      </c>
      <c r="E1465" t="s">
        <v>23</v>
      </c>
      <c r="F1465" t="s">
        <v>44</v>
      </c>
      <c r="G1465">
        <v>2009</v>
      </c>
      <c r="H1465" t="s">
        <v>736</v>
      </c>
      <c r="K1465" t="s">
        <v>25</v>
      </c>
      <c r="L1465" t="s">
        <v>26</v>
      </c>
      <c r="M1465" t="b">
        <v>1</v>
      </c>
      <c r="N1465" t="s">
        <v>3219</v>
      </c>
      <c r="Q1465" t="b">
        <v>0</v>
      </c>
      <c r="S1465" t="str">
        <f>"9780310354949"</f>
        <v>9780310354949</v>
      </c>
      <c r="T1465" t="str">
        <f>"9780310317814"</f>
        <v>9780310317814</v>
      </c>
      <c r="U1465" t="b">
        <v>0</v>
      </c>
      <c r="W1465" t="b">
        <v>0</v>
      </c>
    </row>
    <row r="1466" spans="1:23" x14ac:dyDescent="0.3">
      <c r="A1466">
        <v>2981559</v>
      </c>
      <c r="B1466">
        <v>68.97</v>
      </c>
      <c r="C1466" t="s">
        <v>3220</v>
      </c>
      <c r="D1466" t="s">
        <v>3221</v>
      </c>
      <c r="E1466" t="s">
        <v>23</v>
      </c>
      <c r="F1466" t="s">
        <v>44</v>
      </c>
      <c r="G1466">
        <v>2020</v>
      </c>
      <c r="H1466" t="s">
        <v>871</v>
      </c>
      <c r="I1466" t="s">
        <v>3222</v>
      </c>
      <c r="J1466" t="s">
        <v>3223</v>
      </c>
      <c r="K1466" t="s">
        <v>25</v>
      </c>
      <c r="L1466" t="s">
        <v>26</v>
      </c>
      <c r="M1466" t="b">
        <v>1</v>
      </c>
      <c r="N1466" t="s">
        <v>3224</v>
      </c>
      <c r="O1466" t="str">
        <f>"234/.13"</f>
        <v>234/.13</v>
      </c>
      <c r="Q1466" t="b">
        <v>0</v>
      </c>
      <c r="S1466" t="str">
        <f>"9780310108115"</f>
        <v>9780310108115</v>
      </c>
      <c r="T1466" t="str">
        <f>"9780310108139"</f>
        <v>9780310108139</v>
      </c>
      <c r="U1466" t="b">
        <v>0</v>
      </c>
      <c r="W1466" t="b">
        <v>0</v>
      </c>
    </row>
    <row r="1467" spans="1:23" x14ac:dyDescent="0.3">
      <c r="A1467">
        <v>2981558</v>
      </c>
      <c r="B1467">
        <v>65.52</v>
      </c>
      <c r="C1467" t="s">
        <v>3225</v>
      </c>
      <c r="D1467" t="s">
        <v>3226</v>
      </c>
      <c r="E1467" t="s">
        <v>23</v>
      </c>
      <c r="F1467" t="s">
        <v>44</v>
      </c>
      <c r="G1467">
        <v>2020</v>
      </c>
      <c r="H1467" t="s">
        <v>58</v>
      </c>
      <c r="K1467" t="s">
        <v>25</v>
      </c>
      <c r="L1467" t="s">
        <v>26</v>
      </c>
      <c r="M1467" t="b">
        <v>1</v>
      </c>
      <c r="N1467" t="s">
        <v>3227</v>
      </c>
      <c r="Q1467" t="b">
        <v>0</v>
      </c>
      <c r="S1467" t="str">
        <f>"9780310358244"</f>
        <v>9780310358244</v>
      </c>
      <c r="T1467" t="str">
        <f>"9780310358251"</f>
        <v>9780310358251</v>
      </c>
      <c r="U1467" t="b">
        <v>0</v>
      </c>
      <c r="W1467" t="b">
        <v>0</v>
      </c>
    </row>
    <row r="1468" spans="1:23" x14ac:dyDescent="0.3">
      <c r="A1468">
        <v>2981557</v>
      </c>
      <c r="B1468">
        <v>89.67</v>
      </c>
      <c r="C1468" t="s">
        <v>3228</v>
      </c>
      <c r="D1468" t="s">
        <v>3229</v>
      </c>
      <c r="E1468" t="s">
        <v>23</v>
      </c>
      <c r="F1468" t="s">
        <v>44</v>
      </c>
      <c r="G1468">
        <v>2017</v>
      </c>
      <c r="H1468" t="s">
        <v>62</v>
      </c>
      <c r="K1468" t="s">
        <v>25</v>
      </c>
      <c r="L1468" t="s">
        <v>26</v>
      </c>
      <c r="M1468" t="b">
        <v>1</v>
      </c>
      <c r="N1468" t="s">
        <v>1113</v>
      </c>
      <c r="Q1468" t="b">
        <v>0</v>
      </c>
      <c r="S1468" t="str">
        <f>"9780310345527"</f>
        <v>9780310345527</v>
      </c>
      <c r="T1468" t="str">
        <f>"9780310345565"</f>
        <v>9780310345565</v>
      </c>
      <c r="U1468" t="b">
        <v>0</v>
      </c>
      <c r="W1468" t="b">
        <v>0</v>
      </c>
    </row>
    <row r="1469" spans="1:23" x14ac:dyDescent="0.3">
      <c r="A1469">
        <v>2981556</v>
      </c>
      <c r="B1469">
        <v>46.16</v>
      </c>
      <c r="C1469" t="s">
        <v>3230</v>
      </c>
      <c r="E1469" t="s">
        <v>23</v>
      </c>
      <c r="F1469" t="s">
        <v>44</v>
      </c>
      <c r="G1469">
        <v>2008</v>
      </c>
      <c r="H1469" t="s">
        <v>66</v>
      </c>
      <c r="K1469" t="s">
        <v>25</v>
      </c>
      <c r="L1469" t="s">
        <v>30</v>
      </c>
      <c r="M1469" t="b">
        <v>1</v>
      </c>
      <c r="N1469" t="s">
        <v>2686</v>
      </c>
      <c r="P1469" t="s">
        <v>3231</v>
      </c>
      <c r="Q1469" t="b">
        <v>1</v>
      </c>
      <c r="T1469" t="str">
        <f>"9780310312970"</f>
        <v>9780310312970</v>
      </c>
      <c r="U1469" t="b">
        <v>0</v>
      </c>
      <c r="W1469" t="b">
        <v>0</v>
      </c>
    </row>
    <row r="1470" spans="1:23" x14ac:dyDescent="0.3">
      <c r="A1470">
        <v>2981555</v>
      </c>
      <c r="B1470">
        <v>58.62</v>
      </c>
      <c r="C1470" t="s">
        <v>3232</v>
      </c>
      <c r="E1470" t="s">
        <v>23</v>
      </c>
      <c r="F1470" t="s">
        <v>44</v>
      </c>
      <c r="G1470">
        <v>2008</v>
      </c>
      <c r="H1470" t="s">
        <v>58</v>
      </c>
      <c r="K1470" t="s">
        <v>25</v>
      </c>
      <c r="L1470" t="s">
        <v>30</v>
      </c>
      <c r="M1470" t="b">
        <v>1</v>
      </c>
      <c r="N1470" t="s">
        <v>63</v>
      </c>
      <c r="P1470" t="s">
        <v>2648</v>
      </c>
      <c r="Q1470" t="b">
        <v>0</v>
      </c>
      <c r="S1470" t="str">
        <f>"9780310340751"</f>
        <v>9780310340751</v>
      </c>
      <c r="T1470" t="str">
        <f>"9780310296270"</f>
        <v>9780310296270</v>
      </c>
      <c r="U1470" t="b">
        <v>0</v>
      </c>
      <c r="W1470" t="b">
        <v>0</v>
      </c>
    </row>
    <row r="1471" spans="1:23" x14ac:dyDescent="0.3">
      <c r="A1471">
        <v>2981554</v>
      </c>
      <c r="B1471">
        <v>103.47</v>
      </c>
      <c r="C1471" t="s">
        <v>3233</v>
      </c>
      <c r="E1471" t="s">
        <v>23</v>
      </c>
      <c r="F1471" t="s">
        <v>44</v>
      </c>
      <c r="G1471">
        <v>2011</v>
      </c>
      <c r="H1471" t="s">
        <v>69</v>
      </c>
      <c r="K1471" t="s">
        <v>25</v>
      </c>
      <c r="L1471" t="s">
        <v>26</v>
      </c>
      <c r="M1471" t="b">
        <v>1</v>
      </c>
      <c r="N1471" t="s">
        <v>2641</v>
      </c>
      <c r="Q1471" t="b">
        <v>0</v>
      </c>
      <c r="S1471" t="str">
        <f>"9780310355199"</f>
        <v>9780310355199</v>
      </c>
      <c r="T1471" t="str">
        <f>"9780310334415"</f>
        <v>9780310334415</v>
      </c>
      <c r="U1471" t="b">
        <v>0</v>
      </c>
      <c r="W1471" t="b">
        <v>0</v>
      </c>
    </row>
    <row r="1472" spans="1:23" x14ac:dyDescent="0.3">
      <c r="A1472">
        <v>2981553</v>
      </c>
      <c r="B1472">
        <v>44.82</v>
      </c>
      <c r="C1472" t="s">
        <v>3234</v>
      </c>
      <c r="E1472" t="s">
        <v>23</v>
      </c>
      <c r="F1472" t="s">
        <v>44</v>
      </c>
      <c r="G1472">
        <v>2009</v>
      </c>
      <c r="H1472" t="s">
        <v>712</v>
      </c>
      <c r="K1472" t="s">
        <v>25</v>
      </c>
      <c r="L1472" t="s">
        <v>30</v>
      </c>
      <c r="M1472" t="b">
        <v>1</v>
      </c>
      <c r="N1472" t="s">
        <v>1615</v>
      </c>
      <c r="P1472" t="s">
        <v>2895</v>
      </c>
      <c r="Q1472" t="b">
        <v>1</v>
      </c>
      <c r="S1472" t="str">
        <f>"9780310729051"</f>
        <v>9780310729051</v>
      </c>
      <c r="T1472" t="str">
        <f>"9780310567219"</f>
        <v>9780310567219</v>
      </c>
      <c r="U1472" t="b">
        <v>0</v>
      </c>
      <c r="W1472" t="b">
        <v>0</v>
      </c>
    </row>
    <row r="1473" spans="1:23" x14ac:dyDescent="0.3">
      <c r="A1473">
        <v>2981552</v>
      </c>
      <c r="B1473">
        <v>49.71</v>
      </c>
      <c r="C1473" t="s">
        <v>3235</v>
      </c>
      <c r="D1473" t="s">
        <v>3006</v>
      </c>
      <c r="E1473" t="s">
        <v>23</v>
      </c>
      <c r="F1473" t="s">
        <v>44</v>
      </c>
      <c r="G1473">
        <v>2008</v>
      </c>
      <c r="H1473" t="s">
        <v>132</v>
      </c>
      <c r="K1473" t="s">
        <v>25</v>
      </c>
      <c r="L1473" t="s">
        <v>30</v>
      </c>
      <c r="M1473" t="b">
        <v>1</v>
      </c>
      <c r="N1473" t="s">
        <v>3007</v>
      </c>
      <c r="Q1473" t="b">
        <v>0</v>
      </c>
      <c r="T1473" t="str">
        <f>"9780310313038"</f>
        <v>9780310313038</v>
      </c>
      <c r="U1473" t="b">
        <v>0</v>
      </c>
      <c r="W1473" t="b">
        <v>0</v>
      </c>
    </row>
    <row r="1474" spans="1:23" x14ac:dyDescent="0.3">
      <c r="A1474">
        <v>2981551</v>
      </c>
      <c r="B1474">
        <v>42.61</v>
      </c>
      <c r="C1474" t="s">
        <v>3236</v>
      </c>
      <c r="E1474" t="s">
        <v>23</v>
      </c>
      <c r="F1474" t="s">
        <v>44</v>
      </c>
      <c r="G1474">
        <v>2009</v>
      </c>
      <c r="H1474" t="s">
        <v>1205</v>
      </c>
      <c r="K1474" t="s">
        <v>25</v>
      </c>
      <c r="L1474" t="s">
        <v>30</v>
      </c>
      <c r="M1474" t="b">
        <v>1</v>
      </c>
      <c r="N1474" t="s">
        <v>2686</v>
      </c>
      <c r="Q1474" t="b">
        <v>0</v>
      </c>
      <c r="T1474" t="str">
        <f>"9780310542261"</f>
        <v>9780310542261</v>
      </c>
      <c r="U1474" t="b">
        <v>0</v>
      </c>
      <c r="W1474" t="b">
        <v>0</v>
      </c>
    </row>
    <row r="1475" spans="1:23" x14ac:dyDescent="0.3">
      <c r="A1475">
        <v>2981550</v>
      </c>
      <c r="B1475">
        <v>42.61</v>
      </c>
      <c r="C1475" t="s">
        <v>3237</v>
      </c>
      <c r="D1475" t="s">
        <v>3238</v>
      </c>
      <c r="E1475" t="s">
        <v>23</v>
      </c>
      <c r="F1475" t="s">
        <v>44</v>
      </c>
      <c r="G1475">
        <v>2009</v>
      </c>
      <c r="H1475" t="s">
        <v>132</v>
      </c>
      <c r="K1475" t="s">
        <v>25</v>
      </c>
      <c r="L1475" t="s">
        <v>30</v>
      </c>
      <c r="M1475" t="b">
        <v>1</v>
      </c>
      <c r="N1475" t="s">
        <v>2641</v>
      </c>
      <c r="Q1475" t="b">
        <v>0</v>
      </c>
      <c r="T1475" t="str">
        <f>"9780310858386"</f>
        <v>9780310858386</v>
      </c>
      <c r="U1475" t="b">
        <v>0</v>
      </c>
      <c r="W1475" t="b">
        <v>0</v>
      </c>
    </row>
    <row r="1476" spans="1:23" x14ac:dyDescent="0.3">
      <c r="A1476">
        <v>2981549</v>
      </c>
      <c r="B1476">
        <v>42.61</v>
      </c>
      <c r="C1476" t="s">
        <v>3239</v>
      </c>
      <c r="E1476" t="s">
        <v>23</v>
      </c>
      <c r="F1476" t="s">
        <v>44</v>
      </c>
      <c r="G1476">
        <v>2009</v>
      </c>
      <c r="H1476" t="s">
        <v>74</v>
      </c>
      <c r="K1476" t="s">
        <v>25</v>
      </c>
      <c r="L1476" t="s">
        <v>30</v>
      </c>
      <c r="M1476" t="b">
        <v>1</v>
      </c>
      <c r="N1476" t="s">
        <v>3240</v>
      </c>
      <c r="Q1476" t="b">
        <v>1</v>
      </c>
      <c r="T1476" t="str">
        <f>"9780310563846"</f>
        <v>9780310563846</v>
      </c>
      <c r="U1476" t="b">
        <v>0</v>
      </c>
      <c r="W1476" t="b">
        <v>0</v>
      </c>
    </row>
    <row r="1477" spans="1:23" x14ac:dyDescent="0.3">
      <c r="A1477">
        <v>2981548</v>
      </c>
      <c r="B1477">
        <v>39.049999999999997</v>
      </c>
      <c r="C1477" t="s">
        <v>3241</v>
      </c>
      <c r="E1477" t="s">
        <v>23</v>
      </c>
      <c r="F1477" t="s">
        <v>44</v>
      </c>
      <c r="G1477">
        <v>2009</v>
      </c>
      <c r="H1477" t="s">
        <v>58</v>
      </c>
      <c r="K1477" t="s">
        <v>25</v>
      </c>
      <c r="L1477" t="s">
        <v>30</v>
      </c>
      <c r="M1477" t="b">
        <v>1</v>
      </c>
      <c r="N1477" t="s">
        <v>2851</v>
      </c>
      <c r="Q1477" t="b">
        <v>0</v>
      </c>
      <c r="T1477" t="str">
        <f>"9780310863182"</f>
        <v>9780310863182</v>
      </c>
      <c r="U1477" t="b">
        <v>0</v>
      </c>
      <c r="W1477" t="b">
        <v>0</v>
      </c>
    </row>
    <row r="1478" spans="1:23" x14ac:dyDescent="0.3">
      <c r="A1478">
        <v>2981547</v>
      </c>
      <c r="B1478">
        <v>46.16</v>
      </c>
      <c r="C1478" t="s">
        <v>3242</v>
      </c>
      <c r="E1478" t="s">
        <v>23</v>
      </c>
      <c r="F1478" t="s">
        <v>44</v>
      </c>
      <c r="G1478">
        <v>2008</v>
      </c>
      <c r="H1478" t="s">
        <v>132</v>
      </c>
      <c r="K1478" t="s">
        <v>25</v>
      </c>
      <c r="L1478" t="s">
        <v>26</v>
      </c>
      <c r="M1478" t="b">
        <v>1</v>
      </c>
      <c r="N1478" t="s">
        <v>2807</v>
      </c>
      <c r="Q1478" t="b">
        <v>0</v>
      </c>
      <c r="T1478" t="str">
        <f>"9780310309178"</f>
        <v>9780310309178</v>
      </c>
      <c r="U1478" t="b">
        <v>0</v>
      </c>
      <c r="W1478" t="b">
        <v>0</v>
      </c>
    </row>
    <row r="1479" spans="1:23" x14ac:dyDescent="0.3">
      <c r="A1479">
        <v>2981546</v>
      </c>
      <c r="B1479">
        <v>55.17</v>
      </c>
      <c r="C1479" t="s">
        <v>3243</v>
      </c>
      <c r="E1479" t="s">
        <v>23</v>
      </c>
      <c r="F1479" t="s">
        <v>44</v>
      </c>
      <c r="G1479">
        <v>2008</v>
      </c>
      <c r="H1479" t="s">
        <v>728</v>
      </c>
      <c r="K1479" t="s">
        <v>25</v>
      </c>
      <c r="L1479" t="s">
        <v>30</v>
      </c>
      <c r="M1479" t="b">
        <v>1</v>
      </c>
      <c r="N1479" t="s">
        <v>31</v>
      </c>
      <c r="P1479" t="s">
        <v>2729</v>
      </c>
      <c r="Q1479" t="b">
        <v>1</v>
      </c>
      <c r="S1479" t="str">
        <f>"9780310247524"</f>
        <v>9780310247524</v>
      </c>
      <c r="T1479" t="str">
        <f>"9780310295181"</f>
        <v>9780310295181</v>
      </c>
      <c r="U1479" t="b">
        <v>0</v>
      </c>
      <c r="W1479" t="b">
        <v>0</v>
      </c>
    </row>
    <row r="1480" spans="1:23" x14ac:dyDescent="0.3">
      <c r="A1480">
        <v>2981545</v>
      </c>
      <c r="B1480">
        <v>51.72</v>
      </c>
      <c r="C1480" t="s">
        <v>3244</v>
      </c>
      <c r="D1480" t="s">
        <v>3245</v>
      </c>
      <c r="E1480" t="s">
        <v>23</v>
      </c>
      <c r="F1480" t="s">
        <v>44</v>
      </c>
      <c r="G1480">
        <v>2019</v>
      </c>
      <c r="H1480" t="s">
        <v>3246</v>
      </c>
      <c r="K1480" t="s">
        <v>25</v>
      </c>
      <c r="L1480" t="s">
        <v>26</v>
      </c>
      <c r="M1480" t="b">
        <v>1</v>
      </c>
      <c r="N1480" t="s">
        <v>44</v>
      </c>
      <c r="Q1480" t="b">
        <v>0</v>
      </c>
      <c r="S1480" t="str">
        <f>"9780310354123"</f>
        <v>9780310354123</v>
      </c>
      <c r="T1480" t="str">
        <f>"9780310451693"</f>
        <v>9780310451693</v>
      </c>
      <c r="U1480" t="b">
        <v>0</v>
      </c>
      <c r="W1480" t="b">
        <v>0</v>
      </c>
    </row>
    <row r="1481" spans="1:23" x14ac:dyDescent="0.3">
      <c r="A1481">
        <v>2981544</v>
      </c>
      <c r="B1481">
        <v>120.72</v>
      </c>
      <c r="C1481" t="s">
        <v>3247</v>
      </c>
      <c r="E1481" t="s">
        <v>23</v>
      </c>
      <c r="F1481" t="s">
        <v>44</v>
      </c>
      <c r="G1481">
        <v>2016</v>
      </c>
      <c r="H1481" t="s">
        <v>73</v>
      </c>
      <c r="K1481" t="s">
        <v>25</v>
      </c>
      <c r="L1481" t="s">
        <v>26</v>
      </c>
      <c r="M1481" t="b">
        <v>1</v>
      </c>
      <c r="N1481" t="s">
        <v>44</v>
      </c>
      <c r="Q1481" t="b">
        <v>0</v>
      </c>
      <c r="S1481" t="str">
        <f>"9780310752752"</f>
        <v>9780310752752</v>
      </c>
      <c r="T1481" t="str">
        <f>"9780310752707"</f>
        <v>9780310752707</v>
      </c>
      <c r="U1481" t="b">
        <v>0</v>
      </c>
      <c r="W1481" t="b">
        <v>0</v>
      </c>
    </row>
    <row r="1482" spans="1:23" x14ac:dyDescent="0.3">
      <c r="A1482">
        <v>2981543</v>
      </c>
      <c r="B1482">
        <v>55.17</v>
      </c>
      <c r="C1482" t="s">
        <v>3248</v>
      </c>
      <c r="E1482" t="s">
        <v>23</v>
      </c>
      <c r="F1482" t="s">
        <v>44</v>
      </c>
      <c r="G1482">
        <v>2009</v>
      </c>
      <c r="H1482" t="s">
        <v>66</v>
      </c>
      <c r="K1482" t="s">
        <v>25</v>
      </c>
      <c r="L1482" t="s">
        <v>30</v>
      </c>
      <c r="M1482" t="b">
        <v>1</v>
      </c>
      <c r="N1482" t="s">
        <v>2865</v>
      </c>
      <c r="P1482" t="s">
        <v>2866</v>
      </c>
      <c r="Q1482" t="b">
        <v>1</v>
      </c>
      <c r="S1482" t="str">
        <f>"9780310259343"</f>
        <v>9780310259343</v>
      </c>
      <c r="T1482" t="str">
        <f>"9780310318170"</f>
        <v>9780310318170</v>
      </c>
      <c r="U1482" t="b">
        <v>0</v>
      </c>
      <c r="W1482" t="b">
        <v>0</v>
      </c>
    </row>
    <row r="1483" spans="1:23" x14ac:dyDescent="0.3">
      <c r="A1483">
        <v>2981542</v>
      </c>
      <c r="B1483">
        <v>14.18</v>
      </c>
      <c r="C1483" t="s">
        <v>3249</v>
      </c>
      <c r="D1483" t="s">
        <v>3250</v>
      </c>
      <c r="E1483" t="s">
        <v>23</v>
      </c>
      <c r="F1483" t="s">
        <v>44</v>
      </c>
      <c r="G1483">
        <v>2020</v>
      </c>
      <c r="H1483" t="s">
        <v>772</v>
      </c>
      <c r="K1483" t="s">
        <v>25</v>
      </c>
      <c r="L1483" t="s">
        <v>30</v>
      </c>
      <c r="M1483" t="b">
        <v>1</v>
      </c>
      <c r="N1483" t="s">
        <v>776</v>
      </c>
      <c r="Q1483" t="b">
        <v>1</v>
      </c>
      <c r="T1483" t="str">
        <f>"9780310360407"</f>
        <v>9780310360407</v>
      </c>
      <c r="U1483" t="b">
        <v>0</v>
      </c>
      <c r="W1483" t="b">
        <v>0</v>
      </c>
    </row>
    <row r="1484" spans="1:23" x14ac:dyDescent="0.3">
      <c r="A1484">
        <v>2981541</v>
      </c>
      <c r="B1484">
        <v>51.72</v>
      </c>
      <c r="C1484" t="s">
        <v>3251</v>
      </c>
      <c r="E1484" t="s">
        <v>23</v>
      </c>
      <c r="F1484" t="s">
        <v>44</v>
      </c>
      <c r="G1484">
        <v>2012</v>
      </c>
      <c r="H1484" t="s">
        <v>74</v>
      </c>
      <c r="K1484" t="s">
        <v>25</v>
      </c>
      <c r="L1484" t="s">
        <v>30</v>
      </c>
      <c r="M1484" t="b">
        <v>1</v>
      </c>
      <c r="N1484" t="s">
        <v>3252</v>
      </c>
      <c r="P1484" t="s">
        <v>3253</v>
      </c>
      <c r="Q1484" t="b">
        <v>1</v>
      </c>
      <c r="S1484" t="str">
        <f>"9780310331865"</f>
        <v>9780310331865</v>
      </c>
      <c r="T1484" t="str">
        <f>"9780310331872"</f>
        <v>9780310331872</v>
      </c>
      <c r="U1484" t="b">
        <v>0</v>
      </c>
      <c r="W1484" t="b">
        <v>0</v>
      </c>
    </row>
    <row r="1485" spans="1:23" x14ac:dyDescent="0.3">
      <c r="A1485">
        <v>2981540</v>
      </c>
      <c r="B1485">
        <v>42.61</v>
      </c>
      <c r="C1485" t="s">
        <v>3254</v>
      </c>
      <c r="D1485" t="s">
        <v>3255</v>
      </c>
      <c r="E1485" t="s">
        <v>23</v>
      </c>
      <c r="F1485" t="s">
        <v>44</v>
      </c>
      <c r="G1485">
        <v>2017</v>
      </c>
      <c r="H1485" t="s">
        <v>62</v>
      </c>
      <c r="K1485" t="s">
        <v>25</v>
      </c>
      <c r="L1485" t="s">
        <v>30</v>
      </c>
      <c r="M1485" t="b">
        <v>1</v>
      </c>
      <c r="N1485" t="s">
        <v>44</v>
      </c>
      <c r="P1485" t="s">
        <v>2241</v>
      </c>
      <c r="Q1485" t="b">
        <v>0</v>
      </c>
      <c r="S1485" t="str">
        <f>"9780718088194"</f>
        <v>9780718088194</v>
      </c>
      <c r="T1485" t="str">
        <f>"9780310092926"</f>
        <v>9780310092926</v>
      </c>
      <c r="U1485" t="b">
        <v>0</v>
      </c>
      <c r="W1485" t="b">
        <v>0</v>
      </c>
    </row>
    <row r="1486" spans="1:23" x14ac:dyDescent="0.3">
      <c r="A1486">
        <v>2981539</v>
      </c>
      <c r="B1486">
        <v>51.72</v>
      </c>
      <c r="C1486" t="s">
        <v>3256</v>
      </c>
      <c r="D1486" t="s">
        <v>3257</v>
      </c>
      <c r="E1486" t="s">
        <v>23</v>
      </c>
      <c r="F1486" t="s">
        <v>44</v>
      </c>
      <c r="G1486">
        <v>2020</v>
      </c>
      <c r="H1486" t="s">
        <v>107</v>
      </c>
      <c r="K1486" t="s">
        <v>25</v>
      </c>
      <c r="L1486" t="s">
        <v>26</v>
      </c>
      <c r="M1486" t="b">
        <v>1</v>
      </c>
      <c r="N1486" t="s">
        <v>1198</v>
      </c>
      <c r="Q1486" t="b">
        <v>0</v>
      </c>
      <c r="S1486" t="str">
        <f>"9780310114833"</f>
        <v>9780310114833</v>
      </c>
      <c r="T1486" t="str">
        <f>"9780310114840"</f>
        <v>9780310114840</v>
      </c>
      <c r="U1486" t="b">
        <v>0</v>
      </c>
      <c r="W1486" t="b">
        <v>0</v>
      </c>
    </row>
    <row r="1487" spans="1:23" x14ac:dyDescent="0.3">
      <c r="A1487">
        <v>2981531</v>
      </c>
      <c r="B1487">
        <v>62.07</v>
      </c>
      <c r="C1487" t="s">
        <v>3258</v>
      </c>
      <c r="D1487" t="s">
        <v>3259</v>
      </c>
      <c r="E1487" t="s">
        <v>23</v>
      </c>
      <c r="F1487" t="s">
        <v>44</v>
      </c>
      <c r="G1487">
        <v>2017</v>
      </c>
      <c r="H1487" t="s">
        <v>89</v>
      </c>
      <c r="K1487" t="s">
        <v>25</v>
      </c>
      <c r="L1487" t="s">
        <v>26</v>
      </c>
      <c r="M1487" t="b">
        <v>1</v>
      </c>
      <c r="N1487" t="s">
        <v>2090</v>
      </c>
      <c r="Q1487" t="b">
        <v>0</v>
      </c>
      <c r="S1487" t="str">
        <f>"9780310345640"</f>
        <v>9780310345640</v>
      </c>
      <c r="T1487" t="str">
        <f>"9780310345657"</f>
        <v>9780310345657</v>
      </c>
      <c r="U1487" t="b">
        <v>0</v>
      </c>
      <c r="W1487" t="b">
        <v>0</v>
      </c>
    </row>
    <row r="1488" spans="1:23" x14ac:dyDescent="0.3">
      <c r="A1488">
        <v>2981530</v>
      </c>
      <c r="B1488">
        <v>58.62</v>
      </c>
      <c r="C1488" t="s">
        <v>3050</v>
      </c>
      <c r="D1488" t="s">
        <v>3260</v>
      </c>
      <c r="E1488" t="s">
        <v>23</v>
      </c>
      <c r="F1488" t="s">
        <v>44</v>
      </c>
      <c r="G1488">
        <v>2018</v>
      </c>
      <c r="H1488" t="s">
        <v>2973</v>
      </c>
      <c r="K1488" t="s">
        <v>25</v>
      </c>
      <c r="L1488" t="s">
        <v>26</v>
      </c>
      <c r="M1488" t="b">
        <v>1</v>
      </c>
      <c r="N1488" t="s">
        <v>44</v>
      </c>
      <c r="Q1488" t="b">
        <v>0</v>
      </c>
      <c r="S1488" t="str">
        <f>"9780310762775"</f>
        <v>9780310762775</v>
      </c>
      <c r="T1488" t="str">
        <f>"9780310762812"</f>
        <v>9780310762812</v>
      </c>
      <c r="U1488" t="b">
        <v>0</v>
      </c>
      <c r="W1488" t="b">
        <v>0</v>
      </c>
    </row>
    <row r="1489" spans="1:23" x14ac:dyDescent="0.3">
      <c r="A1489">
        <v>2981529</v>
      </c>
      <c r="B1489">
        <v>86.22</v>
      </c>
      <c r="C1489" t="s">
        <v>3261</v>
      </c>
      <c r="D1489" t="s">
        <v>3262</v>
      </c>
      <c r="E1489" t="s">
        <v>23</v>
      </c>
      <c r="F1489" t="s">
        <v>44</v>
      </c>
      <c r="G1489">
        <v>2019</v>
      </c>
      <c r="H1489" t="s">
        <v>912</v>
      </c>
      <c r="I1489" t="s">
        <v>3263</v>
      </c>
      <c r="J1489" t="s">
        <v>3264</v>
      </c>
      <c r="K1489" t="s">
        <v>25</v>
      </c>
      <c r="L1489" t="s">
        <v>26</v>
      </c>
      <c r="M1489" t="b">
        <v>1</v>
      </c>
      <c r="N1489" t="s">
        <v>3265</v>
      </c>
      <c r="O1489" t="str">
        <f>"269/.2092;B"</f>
        <v>269/.2092;B</v>
      </c>
      <c r="Q1489" t="b">
        <v>0</v>
      </c>
      <c r="S1489" t="str">
        <f>"9780310354055"</f>
        <v>9780310354055</v>
      </c>
      <c r="T1489" t="str">
        <f>"9780310354062"</f>
        <v>9780310354062</v>
      </c>
      <c r="U1489" t="b">
        <v>0</v>
      </c>
      <c r="W1489" t="b">
        <v>0</v>
      </c>
    </row>
    <row r="1490" spans="1:23" x14ac:dyDescent="0.3">
      <c r="A1490">
        <v>2981528</v>
      </c>
      <c r="B1490">
        <v>55.17</v>
      </c>
      <c r="C1490" t="s">
        <v>3266</v>
      </c>
      <c r="D1490" t="s">
        <v>3267</v>
      </c>
      <c r="E1490" t="s">
        <v>23</v>
      </c>
      <c r="F1490" t="s">
        <v>44</v>
      </c>
      <c r="G1490">
        <v>2009</v>
      </c>
      <c r="H1490" t="s">
        <v>2986</v>
      </c>
      <c r="I1490" t="s">
        <v>3268</v>
      </c>
      <c r="J1490" t="s">
        <v>3269</v>
      </c>
      <c r="K1490" t="s">
        <v>25</v>
      </c>
      <c r="L1490" t="s">
        <v>30</v>
      </c>
      <c r="M1490" t="b">
        <v>1</v>
      </c>
      <c r="N1490" t="s">
        <v>3270</v>
      </c>
      <c r="O1490" t="str">
        <f>"276.7571/0829"</f>
        <v>276.7571/0829</v>
      </c>
      <c r="Q1490" t="b">
        <v>0</v>
      </c>
      <c r="S1490" t="str">
        <f>"9780310284895"</f>
        <v>9780310284895</v>
      </c>
      <c r="T1490" t="str">
        <f>"9780310563167"</f>
        <v>9780310563167</v>
      </c>
      <c r="U1490" t="b">
        <v>0</v>
      </c>
      <c r="W1490" t="b">
        <v>0</v>
      </c>
    </row>
    <row r="1491" spans="1:23" x14ac:dyDescent="0.3">
      <c r="A1491">
        <v>2981527</v>
      </c>
      <c r="B1491">
        <v>31.02</v>
      </c>
      <c r="C1491" t="s">
        <v>3271</v>
      </c>
      <c r="D1491" t="s">
        <v>3272</v>
      </c>
      <c r="E1491" t="s">
        <v>23</v>
      </c>
      <c r="F1491" t="s">
        <v>44</v>
      </c>
      <c r="G1491">
        <v>2012</v>
      </c>
      <c r="H1491" t="s">
        <v>2137</v>
      </c>
      <c r="K1491" t="s">
        <v>25</v>
      </c>
      <c r="L1491" t="s">
        <v>30</v>
      </c>
      <c r="M1491" t="b">
        <v>1</v>
      </c>
      <c r="N1491" t="s">
        <v>2742</v>
      </c>
      <c r="Q1491" t="b">
        <v>1</v>
      </c>
      <c r="S1491" t="str">
        <f>"9780310723233"</f>
        <v>9780310723233</v>
      </c>
      <c r="T1491" t="str">
        <f>"9780310723257"</f>
        <v>9780310723257</v>
      </c>
      <c r="U1491" t="b">
        <v>0</v>
      </c>
      <c r="W1491" t="b">
        <v>0</v>
      </c>
    </row>
    <row r="1492" spans="1:23" x14ac:dyDescent="0.3">
      <c r="A1492">
        <v>2981526</v>
      </c>
      <c r="B1492">
        <v>39.049999999999997</v>
      </c>
      <c r="C1492" t="s">
        <v>3273</v>
      </c>
      <c r="D1492" t="s">
        <v>3274</v>
      </c>
      <c r="E1492" t="s">
        <v>23</v>
      </c>
      <c r="F1492" t="s">
        <v>44</v>
      </c>
      <c r="G1492">
        <v>2009</v>
      </c>
      <c r="H1492" t="s">
        <v>736</v>
      </c>
      <c r="K1492" t="s">
        <v>25</v>
      </c>
      <c r="L1492" t="s">
        <v>30</v>
      </c>
      <c r="M1492" t="b">
        <v>1</v>
      </c>
      <c r="N1492" t="s">
        <v>3275</v>
      </c>
      <c r="Q1492" t="b">
        <v>0</v>
      </c>
      <c r="T1492" t="str">
        <f>"9780310566014"</f>
        <v>9780310566014</v>
      </c>
      <c r="U1492" t="b">
        <v>0</v>
      </c>
      <c r="W1492" t="b">
        <v>0</v>
      </c>
    </row>
    <row r="1493" spans="1:23" x14ac:dyDescent="0.3">
      <c r="A1493">
        <v>2981525</v>
      </c>
      <c r="B1493">
        <v>14.18</v>
      </c>
      <c r="C1493" t="s">
        <v>3276</v>
      </c>
      <c r="E1493" t="s">
        <v>23</v>
      </c>
      <c r="F1493" t="s">
        <v>44</v>
      </c>
      <c r="G1493">
        <v>2009</v>
      </c>
      <c r="H1493" t="s">
        <v>62</v>
      </c>
      <c r="K1493" t="s">
        <v>25</v>
      </c>
      <c r="L1493" t="s">
        <v>30</v>
      </c>
      <c r="M1493" t="b">
        <v>1</v>
      </c>
      <c r="N1493" t="s">
        <v>1417</v>
      </c>
      <c r="P1493" t="s">
        <v>3277</v>
      </c>
      <c r="Q1493" t="b">
        <v>0</v>
      </c>
      <c r="T1493" t="str">
        <f>"9780310863601"</f>
        <v>9780310863601</v>
      </c>
      <c r="U1493" t="b">
        <v>0</v>
      </c>
      <c r="W1493" t="b">
        <v>0</v>
      </c>
    </row>
    <row r="1494" spans="1:23" x14ac:dyDescent="0.3">
      <c r="A1494">
        <v>2981524</v>
      </c>
      <c r="B1494">
        <v>55.17</v>
      </c>
      <c r="C1494" t="s">
        <v>3278</v>
      </c>
      <c r="E1494" t="s">
        <v>23</v>
      </c>
      <c r="F1494" t="s">
        <v>44</v>
      </c>
      <c r="G1494">
        <v>2009</v>
      </c>
      <c r="H1494" t="s">
        <v>58</v>
      </c>
      <c r="K1494" t="s">
        <v>25</v>
      </c>
      <c r="L1494" t="s">
        <v>30</v>
      </c>
      <c r="M1494" t="b">
        <v>1</v>
      </c>
      <c r="N1494" t="s">
        <v>3279</v>
      </c>
      <c r="Q1494" t="b">
        <v>0</v>
      </c>
      <c r="S1494" t="str">
        <f>"9780310286189"</f>
        <v>9780310286189</v>
      </c>
      <c r="T1494" t="str">
        <f>"9780310563907"</f>
        <v>9780310563907</v>
      </c>
      <c r="U1494" t="b">
        <v>0</v>
      </c>
      <c r="W1494" t="b">
        <v>0</v>
      </c>
    </row>
    <row r="1495" spans="1:23" x14ac:dyDescent="0.3">
      <c r="A1495">
        <v>2981523</v>
      </c>
      <c r="B1495">
        <v>42.61</v>
      </c>
      <c r="C1495" t="s">
        <v>3280</v>
      </c>
      <c r="D1495" t="s">
        <v>3281</v>
      </c>
      <c r="E1495" t="s">
        <v>23</v>
      </c>
      <c r="F1495" t="s">
        <v>44</v>
      </c>
      <c r="G1495">
        <v>2009</v>
      </c>
      <c r="H1495" t="s">
        <v>58</v>
      </c>
      <c r="K1495" t="s">
        <v>25</v>
      </c>
      <c r="L1495" t="s">
        <v>30</v>
      </c>
      <c r="M1495" t="b">
        <v>1</v>
      </c>
      <c r="N1495" t="s">
        <v>3282</v>
      </c>
      <c r="Q1495" t="b">
        <v>0</v>
      </c>
      <c r="T1495" t="str">
        <f>"9780310543329"</f>
        <v>9780310543329</v>
      </c>
      <c r="U1495" t="b">
        <v>0</v>
      </c>
      <c r="W1495" t="b">
        <v>0</v>
      </c>
    </row>
    <row r="1496" spans="1:23" x14ac:dyDescent="0.3">
      <c r="A1496">
        <v>2981522</v>
      </c>
      <c r="B1496">
        <v>65.52</v>
      </c>
      <c r="C1496" t="s">
        <v>3283</v>
      </c>
      <c r="D1496" t="s">
        <v>3284</v>
      </c>
      <c r="E1496" t="s">
        <v>23</v>
      </c>
      <c r="F1496" t="s">
        <v>44</v>
      </c>
      <c r="G1496">
        <v>2009</v>
      </c>
      <c r="H1496" t="s">
        <v>99</v>
      </c>
      <c r="I1496" t="s">
        <v>3285</v>
      </c>
      <c r="J1496" t="s">
        <v>895</v>
      </c>
      <c r="K1496" t="s">
        <v>25</v>
      </c>
      <c r="L1496" t="s">
        <v>30</v>
      </c>
      <c r="M1496" t="b">
        <v>1</v>
      </c>
      <c r="N1496" t="s">
        <v>2509</v>
      </c>
      <c r="O1496" t="str">
        <f>"248.2"</f>
        <v>248.2</v>
      </c>
      <c r="Q1496" t="b">
        <v>0</v>
      </c>
      <c r="S1496" t="str">
        <f>"9780310257370"</f>
        <v>9780310257370</v>
      </c>
      <c r="T1496" t="str">
        <f>"9780310319573"</f>
        <v>9780310319573</v>
      </c>
      <c r="U1496" t="b">
        <v>0</v>
      </c>
      <c r="W1496" t="b">
        <v>0</v>
      </c>
    </row>
    <row r="1497" spans="1:23" x14ac:dyDescent="0.3">
      <c r="A1497">
        <v>2981521</v>
      </c>
      <c r="B1497">
        <v>88.8</v>
      </c>
      <c r="C1497" t="s">
        <v>3286</v>
      </c>
      <c r="E1497" t="s">
        <v>23</v>
      </c>
      <c r="F1497" t="s">
        <v>44</v>
      </c>
      <c r="G1497">
        <v>2010</v>
      </c>
      <c r="H1497" t="s">
        <v>3287</v>
      </c>
      <c r="K1497" t="s">
        <v>25</v>
      </c>
      <c r="L1497" t="s">
        <v>30</v>
      </c>
      <c r="M1497" t="b">
        <v>1</v>
      </c>
      <c r="N1497" t="s">
        <v>44</v>
      </c>
      <c r="Q1497" t="b">
        <v>0</v>
      </c>
      <c r="T1497" t="str">
        <f>"9780310409038"</f>
        <v>9780310409038</v>
      </c>
      <c r="U1497" t="b">
        <v>0</v>
      </c>
      <c r="W1497" t="b">
        <v>0</v>
      </c>
    </row>
    <row r="1498" spans="1:23" x14ac:dyDescent="0.3">
      <c r="A1498">
        <v>2981520</v>
      </c>
      <c r="B1498">
        <v>17.73</v>
      </c>
      <c r="C1498" t="s">
        <v>3288</v>
      </c>
      <c r="D1498" t="s">
        <v>2834</v>
      </c>
      <c r="E1498" t="s">
        <v>23</v>
      </c>
      <c r="F1498" t="s">
        <v>44</v>
      </c>
      <c r="G1498">
        <v>2010</v>
      </c>
      <c r="H1498" t="s">
        <v>3289</v>
      </c>
      <c r="K1498" t="s">
        <v>25</v>
      </c>
      <c r="L1498" t="s">
        <v>30</v>
      </c>
      <c r="M1498" t="b">
        <v>1</v>
      </c>
      <c r="N1498" t="s">
        <v>44</v>
      </c>
      <c r="P1498" t="s">
        <v>3277</v>
      </c>
      <c r="Q1498" t="b">
        <v>0</v>
      </c>
      <c r="T1498" t="str">
        <f>"9780310866688"</f>
        <v>9780310866688</v>
      </c>
      <c r="U1498" t="b">
        <v>0</v>
      </c>
      <c r="W1498" t="b">
        <v>0</v>
      </c>
    </row>
    <row r="1499" spans="1:23" x14ac:dyDescent="0.3">
      <c r="A1499">
        <v>2981519</v>
      </c>
      <c r="B1499">
        <v>51.72</v>
      </c>
      <c r="C1499" t="s">
        <v>3290</v>
      </c>
      <c r="E1499" t="s">
        <v>23</v>
      </c>
      <c r="F1499" t="s">
        <v>44</v>
      </c>
      <c r="G1499">
        <v>2009</v>
      </c>
      <c r="H1499" t="s">
        <v>66</v>
      </c>
      <c r="K1499" t="s">
        <v>25</v>
      </c>
      <c r="L1499" t="s">
        <v>30</v>
      </c>
      <c r="M1499" t="b">
        <v>1</v>
      </c>
      <c r="N1499" t="s">
        <v>2709</v>
      </c>
      <c r="P1499" t="s">
        <v>2710</v>
      </c>
      <c r="Q1499" t="b">
        <v>1</v>
      </c>
      <c r="S1499" t="str">
        <f>"9780310251040"</f>
        <v>9780310251040</v>
      </c>
      <c r="T1499" t="str">
        <f>"9780310542131"</f>
        <v>9780310542131</v>
      </c>
      <c r="U1499" t="b">
        <v>0</v>
      </c>
      <c r="W1499" t="b">
        <v>0</v>
      </c>
    </row>
    <row r="1500" spans="1:23" x14ac:dyDescent="0.3">
      <c r="A1500">
        <v>2981518</v>
      </c>
      <c r="B1500">
        <v>42.61</v>
      </c>
      <c r="C1500" t="s">
        <v>3291</v>
      </c>
      <c r="D1500" t="s">
        <v>3292</v>
      </c>
      <c r="E1500" t="s">
        <v>23</v>
      </c>
      <c r="F1500" t="s">
        <v>44</v>
      </c>
      <c r="G1500">
        <v>2009</v>
      </c>
      <c r="H1500" t="s">
        <v>99</v>
      </c>
      <c r="K1500" t="s">
        <v>25</v>
      </c>
      <c r="L1500" t="s">
        <v>26</v>
      </c>
      <c r="M1500" t="b">
        <v>1</v>
      </c>
      <c r="N1500" t="s">
        <v>2269</v>
      </c>
      <c r="Q1500" t="b">
        <v>0</v>
      </c>
      <c r="T1500" t="str">
        <f>"9780310565949"</f>
        <v>9780310565949</v>
      </c>
      <c r="U1500" t="b">
        <v>0</v>
      </c>
      <c r="W1500" t="b">
        <v>0</v>
      </c>
    </row>
    <row r="1501" spans="1:23" x14ac:dyDescent="0.3">
      <c r="A1501">
        <v>2981517</v>
      </c>
      <c r="B1501">
        <v>86.22</v>
      </c>
      <c r="C1501" t="s">
        <v>3293</v>
      </c>
      <c r="D1501" t="s">
        <v>854</v>
      </c>
      <c r="E1501" t="s">
        <v>23</v>
      </c>
      <c r="F1501" t="s">
        <v>44</v>
      </c>
      <c r="G1501">
        <v>2021</v>
      </c>
      <c r="H1501" t="s">
        <v>732</v>
      </c>
      <c r="K1501" t="s">
        <v>25</v>
      </c>
      <c r="L1501" t="s">
        <v>26</v>
      </c>
      <c r="M1501" t="b">
        <v>1</v>
      </c>
      <c r="N1501" t="s">
        <v>855</v>
      </c>
      <c r="Q1501" t="b">
        <v>0</v>
      </c>
      <c r="S1501" t="str">
        <f>"9780310536673"</f>
        <v>9780310536673</v>
      </c>
      <c r="T1501" t="str">
        <f>"9780310099659"</f>
        <v>9780310099659</v>
      </c>
      <c r="U1501" t="b">
        <v>0</v>
      </c>
      <c r="W1501" t="b">
        <v>0</v>
      </c>
    </row>
    <row r="1502" spans="1:23" x14ac:dyDescent="0.3">
      <c r="A1502">
        <v>2981516</v>
      </c>
      <c r="B1502">
        <v>51.72</v>
      </c>
      <c r="C1502" t="s">
        <v>3294</v>
      </c>
      <c r="E1502" t="s">
        <v>23</v>
      </c>
      <c r="F1502" t="s">
        <v>44</v>
      </c>
      <c r="G1502">
        <v>2009</v>
      </c>
      <c r="H1502" t="s">
        <v>66</v>
      </c>
      <c r="K1502" t="s">
        <v>25</v>
      </c>
      <c r="L1502" t="s">
        <v>30</v>
      </c>
      <c r="M1502" t="b">
        <v>1</v>
      </c>
      <c r="N1502" t="s">
        <v>2709</v>
      </c>
      <c r="Q1502" t="b">
        <v>1</v>
      </c>
      <c r="S1502" t="str">
        <f>"9780310276425"</f>
        <v>9780310276425</v>
      </c>
      <c r="T1502" t="str">
        <f>"9780310313069"</f>
        <v>9780310313069</v>
      </c>
      <c r="U1502" t="b">
        <v>0</v>
      </c>
      <c r="W1502" t="b">
        <v>0</v>
      </c>
    </row>
    <row r="1503" spans="1:23" x14ac:dyDescent="0.3">
      <c r="A1503">
        <v>2981515</v>
      </c>
      <c r="B1503">
        <v>65.52</v>
      </c>
      <c r="C1503" t="s">
        <v>3295</v>
      </c>
      <c r="E1503" t="s">
        <v>23</v>
      </c>
      <c r="F1503" t="s">
        <v>44</v>
      </c>
      <c r="G1503">
        <v>2008</v>
      </c>
      <c r="H1503" t="s">
        <v>99</v>
      </c>
      <c r="I1503" t="s">
        <v>3296</v>
      </c>
      <c r="K1503" t="s">
        <v>25</v>
      </c>
      <c r="L1503" t="s">
        <v>26</v>
      </c>
      <c r="M1503" t="b">
        <v>1</v>
      </c>
      <c r="N1503" t="s">
        <v>2269</v>
      </c>
      <c r="O1503" t="str">
        <f>"232"</f>
        <v>232</v>
      </c>
      <c r="Q1503" t="b">
        <v>0</v>
      </c>
      <c r="S1503" t="str">
        <f>"9780310219231"</f>
        <v>9780310219231</v>
      </c>
      <c r="T1503" t="str">
        <f>"9780310295815"</f>
        <v>9780310295815</v>
      </c>
      <c r="U1503" t="b">
        <v>0</v>
      </c>
      <c r="W1503" t="b">
        <v>0</v>
      </c>
    </row>
    <row r="1504" spans="1:23" x14ac:dyDescent="0.3">
      <c r="A1504">
        <v>2981514</v>
      </c>
      <c r="B1504">
        <v>27.57</v>
      </c>
      <c r="C1504" t="s">
        <v>3297</v>
      </c>
      <c r="E1504" t="s">
        <v>23</v>
      </c>
      <c r="F1504" t="s">
        <v>44</v>
      </c>
      <c r="G1504">
        <v>2010</v>
      </c>
      <c r="H1504" t="s">
        <v>99</v>
      </c>
      <c r="K1504" t="s">
        <v>25</v>
      </c>
      <c r="L1504" t="s">
        <v>30</v>
      </c>
      <c r="M1504" t="b">
        <v>1</v>
      </c>
      <c r="N1504" t="s">
        <v>2216</v>
      </c>
      <c r="Q1504" t="b">
        <v>0</v>
      </c>
      <c r="S1504" t="str">
        <f>"9780310218050"</f>
        <v>9780310218050</v>
      </c>
      <c r="T1504" t="str">
        <f>"9780310866398"</f>
        <v>9780310866398</v>
      </c>
      <c r="U1504" t="b">
        <v>0</v>
      </c>
      <c r="W1504" t="b">
        <v>0</v>
      </c>
    </row>
    <row r="1505" spans="1:23" x14ac:dyDescent="0.3">
      <c r="A1505">
        <v>2981513</v>
      </c>
      <c r="B1505">
        <v>58.62</v>
      </c>
      <c r="C1505" t="s">
        <v>3298</v>
      </c>
      <c r="D1505" t="s">
        <v>3299</v>
      </c>
      <c r="E1505" t="s">
        <v>23</v>
      </c>
      <c r="F1505" t="s">
        <v>44</v>
      </c>
      <c r="G1505">
        <v>2014</v>
      </c>
      <c r="H1505" t="s">
        <v>132</v>
      </c>
      <c r="I1505" t="s">
        <v>1217</v>
      </c>
      <c r="J1505" t="s">
        <v>3300</v>
      </c>
      <c r="K1505" t="s">
        <v>25</v>
      </c>
      <c r="L1505" t="s">
        <v>26</v>
      </c>
      <c r="M1505" t="b">
        <v>1</v>
      </c>
      <c r="N1505" t="s">
        <v>2721</v>
      </c>
      <c r="O1505" t="str">
        <f>"[E&amp;#x5d;"</f>
        <v>[E&amp;#x5d;</v>
      </c>
      <c r="P1505" t="s">
        <v>905</v>
      </c>
      <c r="Q1505" t="b">
        <v>0</v>
      </c>
      <c r="S1505" t="str">
        <f>"9780310351665"</f>
        <v>9780310351665</v>
      </c>
      <c r="T1505" t="str">
        <f>"9780310341086"</f>
        <v>9780310341086</v>
      </c>
      <c r="U1505" t="b">
        <v>0</v>
      </c>
      <c r="W1505" t="b">
        <v>0</v>
      </c>
    </row>
    <row r="1506" spans="1:23" x14ac:dyDescent="0.3">
      <c r="A1506">
        <v>2981512</v>
      </c>
      <c r="B1506">
        <v>68.97</v>
      </c>
      <c r="C1506" t="s">
        <v>3301</v>
      </c>
      <c r="D1506" t="s">
        <v>3302</v>
      </c>
      <c r="E1506" t="s">
        <v>23</v>
      </c>
      <c r="F1506" t="s">
        <v>44</v>
      </c>
      <c r="G1506">
        <v>2021</v>
      </c>
      <c r="H1506" t="s">
        <v>1112</v>
      </c>
      <c r="K1506" t="s">
        <v>25</v>
      </c>
      <c r="L1506" t="s">
        <v>26</v>
      </c>
      <c r="M1506" t="b">
        <v>1</v>
      </c>
      <c r="N1506" t="s">
        <v>1017</v>
      </c>
      <c r="Q1506" t="b">
        <v>0</v>
      </c>
      <c r="S1506" t="str">
        <f>"9780310456834"</f>
        <v>9780310456834</v>
      </c>
      <c r="T1506" t="str">
        <f>"9780310456827"</f>
        <v>9780310456827</v>
      </c>
      <c r="U1506" t="b">
        <v>0</v>
      </c>
      <c r="W1506" t="b">
        <v>0</v>
      </c>
    </row>
    <row r="1507" spans="1:23" x14ac:dyDescent="0.3">
      <c r="A1507">
        <v>2981511</v>
      </c>
      <c r="B1507">
        <v>42.61</v>
      </c>
      <c r="C1507" t="s">
        <v>3303</v>
      </c>
      <c r="E1507" t="s">
        <v>23</v>
      </c>
      <c r="F1507" t="s">
        <v>44</v>
      </c>
      <c r="G1507">
        <v>2009</v>
      </c>
      <c r="H1507" t="s">
        <v>2746</v>
      </c>
      <c r="K1507" t="s">
        <v>25</v>
      </c>
      <c r="L1507" t="s">
        <v>30</v>
      </c>
      <c r="M1507" t="b">
        <v>1</v>
      </c>
      <c r="N1507" t="s">
        <v>2747</v>
      </c>
      <c r="P1507" t="s">
        <v>2748</v>
      </c>
      <c r="Q1507" t="b">
        <v>1</v>
      </c>
      <c r="T1507" t="str">
        <f>"9780310542193"</f>
        <v>9780310542193</v>
      </c>
      <c r="U1507" t="b">
        <v>0</v>
      </c>
      <c r="W1507" t="b">
        <v>0</v>
      </c>
    </row>
    <row r="1508" spans="1:23" x14ac:dyDescent="0.3">
      <c r="A1508">
        <v>2981510</v>
      </c>
      <c r="B1508">
        <v>51.72</v>
      </c>
      <c r="C1508" t="s">
        <v>3304</v>
      </c>
      <c r="D1508" t="s">
        <v>3305</v>
      </c>
      <c r="E1508" t="s">
        <v>23</v>
      </c>
      <c r="F1508" t="s">
        <v>44</v>
      </c>
      <c r="G1508">
        <v>2009</v>
      </c>
      <c r="H1508" t="s">
        <v>62</v>
      </c>
      <c r="K1508" t="s">
        <v>25</v>
      </c>
      <c r="L1508" t="s">
        <v>30</v>
      </c>
      <c r="M1508" t="b">
        <v>1</v>
      </c>
      <c r="N1508" t="s">
        <v>3306</v>
      </c>
      <c r="Q1508" t="b">
        <v>0</v>
      </c>
      <c r="S1508" t="str">
        <f>"9780310291862"</f>
        <v>9780310291862</v>
      </c>
      <c r="T1508" t="str">
        <f>"9780310565048"</f>
        <v>9780310565048</v>
      </c>
      <c r="U1508" t="b">
        <v>0</v>
      </c>
      <c r="W1508" t="b">
        <v>0</v>
      </c>
    </row>
    <row r="1509" spans="1:23" x14ac:dyDescent="0.3">
      <c r="A1509">
        <v>2981509</v>
      </c>
      <c r="B1509">
        <v>42.61</v>
      </c>
      <c r="C1509" t="s">
        <v>3307</v>
      </c>
      <c r="E1509" t="s">
        <v>23</v>
      </c>
      <c r="F1509" t="s">
        <v>44</v>
      </c>
      <c r="G1509">
        <v>2009</v>
      </c>
      <c r="H1509" t="s">
        <v>66</v>
      </c>
      <c r="K1509" t="s">
        <v>25</v>
      </c>
      <c r="L1509" t="s">
        <v>30</v>
      </c>
      <c r="M1509" t="b">
        <v>1</v>
      </c>
      <c r="N1509" t="s">
        <v>2952</v>
      </c>
      <c r="P1509" t="s">
        <v>2953</v>
      </c>
      <c r="Q1509" t="b">
        <v>1</v>
      </c>
      <c r="T1509" t="str">
        <f>"9780310564867"</f>
        <v>9780310564867</v>
      </c>
      <c r="U1509" t="b">
        <v>0</v>
      </c>
      <c r="W1509" t="b">
        <v>0</v>
      </c>
    </row>
    <row r="1510" spans="1:23" x14ac:dyDescent="0.3">
      <c r="A1510">
        <v>2981508</v>
      </c>
      <c r="B1510">
        <v>44.82</v>
      </c>
      <c r="C1510" t="s">
        <v>3308</v>
      </c>
      <c r="D1510" t="s">
        <v>3309</v>
      </c>
      <c r="E1510" t="s">
        <v>23</v>
      </c>
      <c r="F1510" t="s">
        <v>44</v>
      </c>
      <c r="G1510">
        <v>2012</v>
      </c>
      <c r="H1510" t="s">
        <v>24</v>
      </c>
      <c r="K1510" t="s">
        <v>25</v>
      </c>
      <c r="L1510" t="s">
        <v>30</v>
      </c>
      <c r="M1510" t="b">
        <v>1</v>
      </c>
      <c r="N1510" t="s">
        <v>3310</v>
      </c>
      <c r="Q1510" t="b">
        <v>0</v>
      </c>
      <c r="S1510" t="str">
        <f>"9780310252405"</f>
        <v>9780310252405</v>
      </c>
      <c r="T1510" t="str">
        <f>"9780310300007"</f>
        <v>9780310300007</v>
      </c>
      <c r="U1510" t="b">
        <v>0</v>
      </c>
      <c r="W1510" t="b">
        <v>0</v>
      </c>
    </row>
    <row r="1511" spans="1:23" x14ac:dyDescent="0.3">
      <c r="A1511">
        <v>2981507</v>
      </c>
      <c r="B1511">
        <v>56.82</v>
      </c>
      <c r="C1511" t="s">
        <v>3311</v>
      </c>
      <c r="E1511" t="s">
        <v>23</v>
      </c>
      <c r="F1511" t="s">
        <v>44</v>
      </c>
      <c r="G1511">
        <v>2010</v>
      </c>
      <c r="H1511" t="s">
        <v>381</v>
      </c>
      <c r="K1511" t="s">
        <v>25</v>
      </c>
      <c r="L1511" t="s">
        <v>30</v>
      </c>
      <c r="M1511" t="b">
        <v>1</v>
      </c>
      <c r="N1511" t="s">
        <v>2686</v>
      </c>
      <c r="Q1511" t="b">
        <v>0</v>
      </c>
      <c r="T1511" t="str">
        <f>"9780310873884"</f>
        <v>9780310873884</v>
      </c>
      <c r="U1511" t="b">
        <v>0</v>
      </c>
      <c r="W1511" t="b">
        <v>0</v>
      </c>
    </row>
    <row r="1512" spans="1:23" x14ac:dyDescent="0.3">
      <c r="A1512">
        <v>2981506</v>
      </c>
      <c r="B1512">
        <v>35.5</v>
      </c>
      <c r="C1512" t="s">
        <v>3312</v>
      </c>
      <c r="E1512" t="s">
        <v>23</v>
      </c>
      <c r="F1512" t="s">
        <v>44</v>
      </c>
      <c r="G1512">
        <v>2009</v>
      </c>
      <c r="H1512" t="s">
        <v>67</v>
      </c>
      <c r="K1512" t="s">
        <v>25</v>
      </c>
      <c r="L1512" t="s">
        <v>30</v>
      </c>
      <c r="M1512" t="b">
        <v>1</v>
      </c>
      <c r="N1512" t="s">
        <v>3240</v>
      </c>
      <c r="Q1512" t="b">
        <v>1</v>
      </c>
      <c r="T1512" t="str">
        <f>"9780310572084"</f>
        <v>9780310572084</v>
      </c>
      <c r="U1512" t="b">
        <v>0</v>
      </c>
      <c r="W1512" t="b">
        <v>0</v>
      </c>
    </row>
    <row r="1513" spans="1:23" x14ac:dyDescent="0.3">
      <c r="A1513">
        <v>2981505</v>
      </c>
      <c r="B1513">
        <v>56.82</v>
      </c>
      <c r="C1513" t="s">
        <v>3313</v>
      </c>
      <c r="D1513" t="s">
        <v>3314</v>
      </c>
      <c r="E1513" t="s">
        <v>23</v>
      </c>
      <c r="F1513" t="s">
        <v>44</v>
      </c>
      <c r="G1513">
        <v>2009</v>
      </c>
      <c r="H1513" t="s">
        <v>69</v>
      </c>
      <c r="K1513" t="s">
        <v>25</v>
      </c>
      <c r="L1513" t="s">
        <v>30</v>
      </c>
      <c r="M1513" t="b">
        <v>1</v>
      </c>
      <c r="N1513" t="s">
        <v>3315</v>
      </c>
      <c r="Q1513" t="b">
        <v>0</v>
      </c>
      <c r="T1513" t="str">
        <f>"9780310561088"</f>
        <v>9780310561088</v>
      </c>
      <c r="U1513" t="b">
        <v>0</v>
      </c>
      <c r="W1513" t="b">
        <v>0</v>
      </c>
    </row>
    <row r="1514" spans="1:23" x14ac:dyDescent="0.3">
      <c r="A1514">
        <v>2981504</v>
      </c>
      <c r="B1514">
        <v>39.049999999999997</v>
      </c>
      <c r="C1514" t="s">
        <v>3316</v>
      </c>
      <c r="E1514" t="s">
        <v>23</v>
      </c>
      <c r="F1514" t="s">
        <v>44</v>
      </c>
      <c r="G1514">
        <v>2009</v>
      </c>
      <c r="H1514" t="s">
        <v>66</v>
      </c>
      <c r="K1514" t="s">
        <v>25</v>
      </c>
      <c r="L1514" t="s">
        <v>30</v>
      </c>
      <c r="M1514" t="b">
        <v>1</v>
      </c>
      <c r="N1514" t="s">
        <v>3186</v>
      </c>
      <c r="Q1514" t="b">
        <v>1</v>
      </c>
      <c r="T1514" t="str">
        <f>"9780310542001"</f>
        <v>9780310542001</v>
      </c>
      <c r="U1514" t="b">
        <v>0</v>
      </c>
      <c r="W1514" t="b">
        <v>0</v>
      </c>
    </row>
    <row r="1515" spans="1:23" x14ac:dyDescent="0.3">
      <c r="A1515">
        <v>2981503</v>
      </c>
      <c r="B1515">
        <v>34.47</v>
      </c>
      <c r="C1515" t="s">
        <v>3317</v>
      </c>
      <c r="D1515" t="s">
        <v>2723</v>
      </c>
      <c r="E1515" t="s">
        <v>23</v>
      </c>
      <c r="F1515" t="s">
        <v>44</v>
      </c>
      <c r="G1515">
        <v>2020</v>
      </c>
      <c r="H1515" t="s">
        <v>772</v>
      </c>
      <c r="K1515" t="s">
        <v>25</v>
      </c>
      <c r="L1515" t="s">
        <v>26</v>
      </c>
      <c r="M1515" t="b">
        <v>1</v>
      </c>
      <c r="N1515" t="s">
        <v>2724</v>
      </c>
      <c r="Q1515" t="b">
        <v>1</v>
      </c>
      <c r="S1515" t="str">
        <f>"9780310363866"</f>
        <v>9780310363866</v>
      </c>
      <c r="T1515" t="str">
        <f>"9780310357896"</f>
        <v>9780310357896</v>
      </c>
      <c r="U1515" t="b">
        <v>0</v>
      </c>
      <c r="W1515" t="b">
        <v>0</v>
      </c>
    </row>
    <row r="1516" spans="1:23" x14ac:dyDescent="0.3">
      <c r="A1516">
        <v>2981502</v>
      </c>
      <c r="B1516">
        <v>56.82</v>
      </c>
      <c r="C1516" t="s">
        <v>3318</v>
      </c>
      <c r="D1516" t="s">
        <v>3319</v>
      </c>
      <c r="E1516" t="s">
        <v>23</v>
      </c>
      <c r="F1516" t="s">
        <v>44</v>
      </c>
      <c r="G1516">
        <v>2010</v>
      </c>
      <c r="H1516" t="s">
        <v>58</v>
      </c>
      <c r="K1516" t="s">
        <v>25</v>
      </c>
      <c r="L1516" t="s">
        <v>30</v>
      </c>
      <c r="M1516" t="b">
        <v>1</v>
      </c>
      <c r="N1516" t="s">
        <v>752</v>
      </c>
      <c r="Q1516" t="b">
        <v>0</v>
      </c>
      <c r="T1516" t="str">
        <f>"9780310597414"</f>
        <v>9780310597414</v>
      </c>
      <c r="U1516" t="b">
        <v>0</v>
      </c>
      <c r="W1516" t="b">
        <v>0</v>
      </c>
    </row>
    <row r="1517" spans="1:23" x14ac:dyDescent="0.3">
      <c r="A1517">
        <v>2981501</v>
      </c>
      <c r="B1517">
        <v>55.17</v>
      </c>
      <c r="C1517" t="s">
        <v>3320</v>
      </c>
      <c r="E1517" t="s">
        <v>23</v>
      </c>
      <c r="F1517" t="s">
        <v>44</v>
      </c>
      <c r="G1517">
        <v>2009</v>
      </c>
      <c r="H1517" t="s">
        <v>66</v>
      </c>
      <c r="K1517" t="s">
        <v>25</v>
      </c>
      <c r="L1517" t="s">
        <v>30</v>
      </c>
      <c r="M1517" t="b">
        <v>1</v>
      </c>
      <c r="N1517" t="s">
        <v>77</v>
      </c>
      <c r="P1517" t="s">
        <v>2605</v>
      </c>
      <c r="Q1517" t="b">
        <v>1</v>
      </c>
      <c r="S1517" t="str">
        <f>"9780310337799"</f>
        <v>9780310337799</v>
      </c>
      <c r="T1517" t="str">
        <f>"9780310565925"</f>
        <v>9780310565925</v>
      </c>
      <c r="U1517" t="b">
        <v>0</v>
      </c>
      <c r="W1517" t="b">
        <v>0</v>
      </c>
    </row>
    <row r="1518" spans="1:23" x14ac:dyDescent="0.3">
      <c r="A1518">
        <v>2981500</v>
      </c>
      <c r="B1518">
        <v>58.62</v>
      </c>
      <c r="C1518" t="s">
        <v>3321</v>
      </c>
      <c r="D1518" t="s">
        <v>3322</v>
      </c>
      <c r="E1518" t="s">
        <v>23</v>
      </c>
      <c r="F1518" t="s">
        <v>44</v>
      </c>
      <c r="G1518">
        <v>2015</v>
      </c>
      <c r="H1518" t="s">
        <v>89</v>
      </c>
      <c r="K1518" t="s">
        <v>25</v>
      </c>
      <c r="L1518" t="s">
        <v>26</v>
      </c>
      <c r="M1518" t="b">
        <v>1</v>
      </c>
      <c r="N1518" t="s">
        <v>3323</v>
      </c>
      <c r="Q1518" t="b">
        <v>0</v>
      </c>
      <c r="S1518" t="str">
        <f>"9780310343431"</f>
        <v>9780310343431</v>
      </c>
      <c r="T1518" t="str">
        <f>"9780310343455"</f>
        <v>9780310343455</v>
      </c>
      <c r="U1518" t="b">
        <v>0</v>
      </c>
      <c r="W1518" t="b">
        <v>0</v>
      </c>
    </row>
    <row r="1519" spans="1:23" x14ac:dyDescent="0.3">
      <c r="A1519">
        <v>2981499</v>
      </c>
      <c r="B1519">
        <v>51.72</v>
      </c>
      <c r="C1519" t="s">
        <v>296</v>
      </c>
      <c r="D1519" t="s">
        <v>1405</v>
      </c>
      <c r="E1519" t="s">
        <v>23</v>
      </c>
      <c r="F1519" t="s">
        <v>44</v>
      </c>
      <c r="G1519">
        <v>2009</v>
      </c>
      <c r="H1519" t="s">
        <v>2535</v>
      </c>
      <c r="K1519" t="s">
        <v>25</v>
      </c>
      <c r="L1519" t="s">
        <v>30</v>
      </c>
      <c r="M1519" t="b">
        <v>1</v>
      </c>
      <c r="N1519" t="s">
        <v>2309</v>
      </c>
      <c r="Q1519" t="b">
        <v>1</v>
      </c>
      <c r="S1519" t="str">
        <f>"9780310270416"</f>
        <v>9780310270416</v>
      </c>
      <c r="T1519" t="str">
        <f>"9780310565864"</f>
        <v>9780310565864</v>
      </c>
      <c r="U1519" t="b">
        <v>0</v>
      </c>
      <c r="W1519" t="b">
        <v>0</v>
      </c>
    </row>
    <row r="1520" spans="1:23" x14ac:dyDescent="0.3">
      <c r="A1520">
        <v>2981498</v>
      </c>
      <c r="B1520">
        <v>55.17</v>
      </c>
      <c r="C1520" t="s">
        <v>3324</v>
      </c>
      <c r="E1520" t="s">
        <v>23</v>
      </c>
      <c r="F1520" t="s">
        <v>44</v>
      </c>
      <c r="G1520">
        <v>2008</v>
      </c>
      <c r="H1520" t="s">
        <v>74</v>
      </c>
      <c r="K1520" t="s">
        <v>25</v>
      </c>
      <c r="L1520" t="s">
        <v>30</v>
      </c>
      <c r="M1520" t="b">
        <v>1</v>
      </c>
      <c r="N1520" t="s">
        <v>31</v>
      </c>
      <c r="Q1520" t="b">
        <v>1</v>
      </c>
      <c r="S1520" t="str">
        <f>"9780310286783"</f>
        <v>9780310286783</v>
      </c>
      <c r="T1520" t="str">
        <f>"9780310296010"</f>
        <v>9780310296010</v>
      </c>
      <c r="U1520" t="b">
        <v>0</v>
      </c>
      <c r="W1520" t="b">
        <v>0</v>
      </c>
    </row>
    <row r="1521" spans="1:23" x14ac:dyDescent="0.3">
      <c r="A1521">
        <v>2981497</v>
      </c>
      <c r="B1521">
        <v>27.57</v>
      </c>
      <c r="C1521" t="s">
        <v>3325</v>
      </c>
      <c r="E1521" t="s">
        <v>23</v>
      </c>
      <c r="F1521" t="s">
        <v>44</v>
      </c>
      <c r="G1521">
        <v>2010</v>
      </c>
      <c r="H1521" t="s">
        <v>728</v>
      </c>
      <c r="K1521" t="s">
        <v>25</v>
      </c>
      <c r="L1521" t="s">
        <v>30</v>
      </c>
      <c r="M1521" t="b">
        <v>1</v>
      </c>
      <c r="N1521" t="s">
        <v>776</v>
      </c>
      <c r="P1521" t="s">
        <v>3326</v>
      </c>
      <c r="Q1521" t="b">
        <v>1</v>
      </c>
      <c r="S1521" t="str">
        <f>"9780785217176"</f>
        <v>9780785217176</v>
      </c>
      <c r="T1521" t="str">
        <f>"9780310563969"</f>
        <v>9780310563969</v>
      </c>
      <c r="U1521" t="b">
        <v>0</v>
      </c>
      <c r="W1521" t="b">
        <v>0</v>
      </c>
    </row>
    <row r="1522" spans="1:23" x14ac:dyDescent="0.3">
      <c r="A1522">
        <v>2981496</v>
      </c>
      <c r="B1522">
        <v>42.61</v>
      </c>
      <c r="C1522" t="s">
        <v>3327</v>
      </c>
      <c r="D1522" t="s">
        <v>3328</v>
      </c>
      <c r="E1522" t="s">
        <v>23</v>
      </c>
      <c r="F1522" t="s">
        <v>44</v>
      </c>
      <c r="G1522">
        <v>2009</v>
      </c>
      <c r="H1522" t="s">
        <v>56</v>
      </c>
      <c r="K1522" t="s">
        <v>25</v>
      </c>
      <c r="L1522" t="s">
        <v>30</v>
      </c>
      <c r="M1522" t="b">
        <v>1</v>
      </c>
      <c r="N1522" t="s">
        <v>3329</v>
      </c>
      <c r="Q1522" t="b">
        <v>0</v>
      </c>
      <c r="T1522" t="str">
        <f>"9780310540472"</f>
        <v>9780310540472</v>
      </c>
      <c r="U1522" t="b">
        <v>0</v>
      </c>
      <c r="W1522" t="b">
        <v>0</v>
      </c>
    </row>
    <row r="1523" spans="1:23" x14ac:dyDescent="0.3">
      <c r="A1523">
        <v>2981495</v>
      </c>
      <c r="B1523">
        <v>44.82</v>
      </c>
      <c r="C1523" t="s">
        <v>3330</v>
      </c>
      <c r="E1523" t="s">
        <v>23</v>
      </c>
      <c r="F1523" t="s">
        <v>44</v>
      </c>
      <c r="G1523">
        <v>2009</v>
      </c>
      <c r="H1523" t="s">
        <v>2535</v>
      </c>
      <c r="K1523" t="s">
        <v>25</v>
      </c>
      <c r="L1523" t="s">
        <v>30</v>
      </c>
      <c r="M1523" t="b">
        <v>1</v>
      </c>
      <c r="N1523" t="s">
        <v>2669</v>
      </c>
      <c r="P1523" t="s">
        <v>2670</v>
      </c>
      <c r="Q1523" t="b">
        <v>1</v>
      </c>
      <c r="S1523" t="str">
        <f>"9780310263005"</f>
        <v>9780310263005</v>
      </c>
      <c r="T1523" t="str">
        <f>"9780310317302"</f>
        <v>9780310317302</v>
      </c>
      <c r="U1523" t="b">
        <v>0</v>
      </c>
      <c r="W1523" t="b">
        <v>0</v>
      </c>
    </row>
    <row r="1524" spans="1:23" x14ac:dyDescent="0.3">
      <c r="A1524">
        <v>2981494</v>
      </c>
      <c r="B1524">
        <v>10.63</v>
      </c>
      <c r="C1524" t="s">
        <v>3331</v>
      </c>
      <c r="D1524" t="s">
        <v>2834</v>
      </c>
      <c r="E1524" t="s">
        <v>23</v>
      </c>
      <c r="F1524" t="s">
        <v>44</v>
      </c>
      <c r="G1524">
        <v>2009</v>
      </c>
      <c r="H1524" t="s">
        <v>62</v>
      </c>
      <c r="K1524" t="s">
        <v>25</v>
      </c>
      <c r="L1524" t="s">
        <v>30</v>
      </c>
      <c r="M1524" t="b">
        <v>1</v>
      </c>
      <c r="N1524" t="s">
        <v>44</v>
      </c>
      <c r="Q1524" t="b">
        <v>0</v>
      </c>
      <c r="T1524" t="str">
        <f>"9780310870227"</f>
        <v>9780310870227</v>
      </c>
      <c r="U1524" t="b">
        <v>0</v>
      </c>
      <c r="W1524" t="b">
        <v>0</v>
      </c>
    </row>
    <row r="1525" spans="1:23" x14ac:dyDescent="0.3">
      <c r="A1525">
        <v>2981493</v>
      </c>
      <c r="B1525">
        <v>58.62</v>
      </c>
      <c r="C1525" t="s">
        <v>3332</v>
      </c>
      <c r="E1525" t="s">
        <v>23</v>
      </c>
      <c r="F1525" t="s">
        <v>44</v>
      </c>
      <c r="G1525">
        <v>2009</v>
      </c>
      <c r="H1525" t="s">
        <v>107</v>
      </c>
      <c r="K1525" t="s">
        <v>25</v>
      </c>
      <c r="L1525" t="s">
        <v>30</v>
      </c>
      <c r="M1525" t="b">
        <v>1</v>
      </c>
      <c r="N1525" t="s">
        <v>3333</v>
      </c>
      <c r="Q1525" t="b">
        <v>0</v>
      </c>
      <c r="S1525" t="str">
        <f>"9780310259398"</f>
        <v>9780310259398</v>
      </c>
      <c r="T1525" t="str">
        <f>"9780310297291"</f>
        <v>9780310297291</v>
      </c>
      <c r="U1525" t="b">
        <v>0</v>
      </c>
      <c r="W1525" t="b">
        <v>0</v>
      </c>
    </row>
    <row r="1526" spans="1:23" x14ac:dyDescent="0.3">
      <c r="A1526">
        <v>2981492</v>
      </c>
      <c r="B1526">
        <v>55.17</v>
      </c>
      <c r="C1526" t="s">
        <v>3334</v>
      </c>
      <c r="E1526" t="s">
        <v>23</v>
      </c>
      <c r="F1526" t="s">
        <v>44</v>
      </c>
      <c r="G1526">
        <v>2010</v>
      </c>
      <c r="H1526" t="s">
        <v>66</v>
      </c>
      <c r="K1526" t="s">
        <v>25</v>
      </c>
      <c r="L1526" t="s">
        <v>30</v>
      </c>
      <c r="M1526" t="b">
        <v>1</v>
      </c>
      <c r="N1526" t="s">
        <v>77</v>
      </c>
      <c r="P1526" t="s">
        <v>3335</v>
      </c>
      <c r="Q1526" t="b">
        <v>1</v>
      </c>
      <c r="S1526" t="str">
        <f>"9780310207085"</f>
        <v>9780310207085</v>
      </c>
      <c r="T1526" t="str">
        <f>"9780310871576"</f>
        <v>9780310871576</v>
      </c>
      <c r="U1526" t="b">
        <v>0</v>
      </c>
      <c r="W1526" t="b">
        <v>0</v>
      </c>
    </row>
    <row r="1527" spans="1:23" x14ac:dyDescent="0.3">
      <c r="A1527">
        <v>2981491</v>
      </c>
      <c r="B1527">
        <v>44.82</v>
      </c>
      <c r="C1527" t="s">
        <v>3336</v>
      </c>
      <c r="E1527" t="s">
        <v>23</v>
      </c>
      <c r="F1527" t="s">
        <v>44</v>
      </c>
      <c r="G1527">
        <v>2009</v>
      </c>
      <c r="H1527" t="s">
        <v>66</v>
      </c>
      <c r="K1527" t="s">
        <v>25</v>
      </c>
      <c r="L1527" t="s">
        <v>30</v>
      </c>
      <c r="M1527" t="b">
        <v>1</v>
      </c>
      <c r="N1527" t="s">
        <v>3186</v>
      </c>
      <c r="Q1527" t="b">
        <v>1</v>
      </c>
      <c r="S1527" t="str">
        <f>"9780310243878"</f>
        <v>9780310243878</v>
      </c>
      <c r="T1527" t="str">
        <f>"9780310559962"</f>
        <v>9780310559962</v>
      </c>
      <c r="U1527" t="b">
        <v>0</v>
      </c>
      <c r="W1527" t="b">
        <v>0</v>
      </c>
    </row>
    <row r="1528" spans="1:23" x14ac:dyDescent="0.3">
      <c r="A1528">
        <v>2981490</v>
      </c>
      <c r="B1528">
        <v>58.62</v>
      </c>
      <c r="C1528" t="s">
        <v>3337</v>
      </c>
      <c r="E1528" t="s">
        <v>23</v>
      </c>
      <c r="F1528" t="s">
        <v>44</v>
      </c>
      <c r="G1528">
        <v>2009</v>
      </c>
      <c r="H1528" t="s">
        <v>56</v>
      </c>
      <c r="K1528" t="s">
        <v>25</v>
      </c>
      <c r="L1528" t="s">
        <v>30</v>
      </c>
      <c r="M1528" t="b">
        <v>1</v>
      </c>
      <c r="N1528" t="s">
        <v>3338</v>
      </c>
      <c r="Q1528" t="b">
        <v>0</v>
      </c>
      <c r="S1528" t="str">
        <f>"9780310351771"</f>
        <v>9780310351771</v>
      </c>
      <c r="T1528" t="str">
        <f>"9780310320562"</f>
        <v>9780310320562</v>
      </c>
      <c r="U1528" t="b">
        <v>0</v>
      </c>
      <c r="W1528" t="b">
        <v>0</v>
      </c>
    </row>
    <row r="1529" spans="1:23" x14ac:dyDescent="0.3">
      <c r="A1529">
        <v>2981489</v>
      </c>
      <c r="B1529">
        <v>58.62</v>
      </c>
      <c r="C1529" t="s">
        <v>3339</v>
      </c>
      <c r="D1529" t="s">
        <v>3340</v>
      </c>
      <c r="E1529" t="s">
        <v>23</v>
      </c>
      <c r="F1529" t="s">
        <v>44</v>
      </c>
      <c r="G1529">
        <v>2008</v>
      </c>
      <c r="H1529" t="s">
        <v>58</v>
      </c>
      <c r="K1529" t="s">
        <v>25</v>
      </c>
      <c r="L1529" t="s">
        <v>30</v>
      </c>
      <c r="M1529" t="b">
        <v>1</v>
      </c>
      <c r="N1529" t="s">
        <v>3341</v>
      </c>
      <c r="Q1529" t="b">
        <v>0</v>
      </c>
      <c r="S1529" t="str">
        <f>"9780310276463"</f>
        <v>9780310276463</v>
      </c>
      <c r="T1529" t="str">
        <f>"9780310309123"</f>
        <v>9780310309123</v>
      </c>
      <c r="U1529" t="b">
        <v>0</v>
      </c>
      <c r="W1529" t="b">
        <v>0</v>
      </c>
    </row>
    <row r="1530" spans="1:23" x14ac:dyDescent="0.3">
      <c r="A1530">
        <v>2981488</v>
      </c>
      <c r="B1530">
        <v>51.72</v>
      </c>
      <c r="C1530" t="s">
        <v>3342</v>
      </c>
      <c r="E1530" t="s">
        <v>23</v>
      </c>
      <c r="F1530" t="s">
        <v>44</v>
      </c>
      <c r="G1530">
        <v>2009</v>
      </c>
      <c r="H1530" t="s">
        <v>66</v>
      </c>
      <c r="K1530" t="s">
        <v>25</v>
      </c>
      <c r="L1530" t="s">
        <v>30</v>
      </c>
      <c r="M1530" t="b">
        <v>1</v>
      </c>
      <c r="N1530" t="s">
        <v>2709</v>
      </c>
      <c r="P1530" t="s">
        <v>3052</v>
      </c>
      <c r="Q1530" t="b">
        <v>1</v>
      </c>
      <c r="S1530" t="str">
        <f>"9780310252245"</f>
        <v>9780310252245</v>
      </c>
      <c r="T1530" t="str">
        <f>"9780310317067"</f>
        <v>9780310317067</v>
      </c>
      <c r="U1530" t="b">
        <v>0</v>
      </c>
      <c r="W1530" t="b">
        <v>0</v>
      </c>
    </row>
    <row r="1531" spans="1:23" x14ac:dyDescent="0.3">
      <c r="A1531">
        <v>2981487</v>
      </c>
      <c r="B1531">
        <v>51.72</v>
      </c>
      <c r="C1531" t="s">
        <v>3343</v>
      </c>
      <c r="D1531" t="s">
        <v>3344</v>
      </c>
      <c r="E1531" t="s">
        <v>23</v>
      </c>
      <c r="F1531" t="s">
        <v>44</v>
      </c>
      <c r="G1531">
        <v>2008</v>
      </c>
      <c r="H1531" t="s">
        <v>132</v>
      </c>
      <c r="K1531" t="s">
        <v>25</v>
      </c>
      <c r="L1531" t="s">
        <v>30</v>
      </c>
      <c r="M1531" t="b">
        <v>1</v>
      </c>
      <c r="N1531" t="s">
        <v>3345</v>
      </c>
      <c r="Q1531" t="b">
        <v>0</v>
      </c>
      <c r="S1531" t="str">
        <f>"9780310271543"</f>
        <v>9780310271543</v>
      </c>
      <c r="T1531" t="str">
        <f>"9780310309031"</f>
        <v>9780310309031</v>
      </c>
      <c r="U1531" t="b">
        <v>0</v>
      </c>
      <c r="W1531" t="b">
        <v>0</v>
      </c>
    </row>
    <row r="1532" spans="1:23" x14ac:dyDescent="0.3">
      <c r="A1532">
        <v>2981486</v>
      </c>
      <c r="B1532">
        <v>58.62</v>
      </c>
      <c r="C1532" t="s">
        <v>3346</v>
      </c>
      <c r="E1532" t="s">
        <v>23</v>
      </c>
      <c r="F1532" t="s">
        <v>44</v>
      </c>
      <c r="G1532">
        <v>2008</v>
      </c>
      <c r="H1532" t="s">
        <v>58</v>
      </c>
      <c r="K1532" t="s">
        <v>25</v>
      </c>
      <c r="L1532" t="s">
        <v>30</v>
      </c>
      <c r="M1532" t="b">
        <v>1</v>
      </c>
      <c r="N1532" t="s">
        <v>2616</v>
      </c>
      <c r="Q1532" t="b">
        <v>0</v>
      </c>
      <c r="S1532" t="str">
        <f>"9780310341079"</f>
        <v>9780310341079</v>
      </c>
      <c r="T1532" t="str">
        <f>"9780310296249"</f>
        <v>9780310296249</v>
      </c>
      <c r="U1532" t="b">
        <v>0</v>
      </c>
      <c r="W1532" t="b">
        <v>0</v>
      </c>
    </row>
    <row r="1533" spans="1:23" x14ac:dyDescent="0.3">
      <c r="A1533">
        <v>2981485</v>
      </c>
      <c r="B1533">
        <v>55.17</v>
      </c>
      <c r="C1533" t="s">
        <v>3347</v>
      </c>
      <c r="E1533" t="s">
        <v>23</v>
      </c>
      <c r="F1533" t="s">
        <v>44</v>
      </c>
      <c r="G1533">
        <v>2009</v>
      </c>
      <c r="H1533" t="s">
        <v>56</v>
      </c>
      <c r="K1533" t="s">
        <v>25</v>
      </c>
      <c r="L1533" t="s">
        <v>30</v>
      </c>
      <c r="M1533" t="b">
        <v>1</v>
      </c>
      <c r="N1533" t="s">
        <v>3348</v>
      </c>
      <c r="Q1533" t="b">
        <v>0</v>
      </c>
      <c r="S1533" t="str">
        <f>"9780310272892"</f>
        <v>9780310272892</v>
      </c>
      <c r="T1533" t="str">
        <f>"9780310570370"</f>
        <v>9780310570370</v>
      </c>
      <c r="U1533" t="b">
        <v>0</v>
      </c>
      <c r="W1533" t="b">
        <v>0</v>
      </c>
    </row>
    <row r="1534" spans="1:23" x14ac:dyDescent="0.3">
      <c r="A1534">
        <v>2981484</v>
      </c>
      <c r="B1534">
        <v>39.049999999999997</v>
      </c>
      <c r="C1534" t="s">
        <v>3349</v>
      </c>
      <c r="E1534" t="s">
        <v>23</v>
      </c>
      <c r="F1534" t="s">
        <v>44</v>
      </c>
      <c r="G1534">
        <v>2009</v>
      </c>
      <c r="H1534" t="s">
        <v>74</v>
      </c>
      <c r="K1534" t="s">
        <v>25</v>
      </c>
      <c r="L1534" t="s">
        <v>30</v>
      </c>
      <c r="M1534" t="b">
        <v>1</v>
      </c>
      <c r="N1534" t="s">
        <v>2682</v>
      </c>
      <c r="P1534" t="s">
        <v>2683</v>
      </c>
      <c r="Q1534" t="b">
        <v>1</v>
      </c>
      <c r="T1534" t="str">
        <f>"9780310297741"</f>
        <v>9780310297741</v>
      </c>
      <c r="U1534" t="b">
        <v>0</v>
      </c>
      <c r="W1534" t="b">
        <v>0</v>
      </c>
    </row>
    <row r="1535" spans="1:23" x14ac:dyDescent="0.3">
      <c r="A1535">
        <v>2981483</v>
      </c>
      <c r="B1535">
        <v>7.07</v>
      </c>
      <c r="C1535" t="s">
        <v>3350</v>
      </c>
      <c r="D1535" t="s">
        <v>3351</v>
      </c>
      <c r="E1535" t="s">
        <v>23</v>
      </c>
      <c r="F1535" t="s">
        <v>44</v>
      </c>
      <c r="G1535">
        <v>2009</v>
      </c>
      <c r="H1535" t="s">
        <v>57</v>
      </c>
      <c r="K1535" t="s">
        <v>25</v>
      </c>
      <c r="L1535" t="s">
        <v>30</v>
      </c>
      <c r="M1535" t="b">
        <v>1</v>
      </c>
      <c r="N1535" t="s">
        <v>915</v>
      </c>
      <c r="Q1535" t="b">
        <v>0</v>
      </c>
      <c r="T1535" t="str">
        <f>"9780310865858"</f>
        <v>9780310865858</v>
      </c>
      <c r="U1535" t="b">
        <v>0</v>
      </c>
      <c r="W1535" t="b">
        <v>0</v>
      </c>
    </row>
    <row r="1536" spans="1:23" x14ac:dyDescent="0.3">
      <c r="A1536">
        <v>2981482</v>
      </c>
      <c r="B1536">
        <v>51.72</v>
      </c>
      <c r="C1536" t="s">
        <v>3352</v>
      </c>
      <c r="E1536" t="s">
        <v>23</v>
      </c>
      <c r="F1536" t="s">
        <v>44</v>
      </c>
      <c r="G1536">
        <v>2009</v>
      </c>
      <c r="H1536" t="s">
        <v>67</v>
      </c>
      <c r="K1536" t="s">
        <v>25</v>
      </c>
      <c r="L1536" t="s">
        <v>30</v>
      </c>
      <c r="M1536" t="b">
        <v>1</v>
      </c>
      <c r="N1536" t="s">
        <v>3353</v>
      </c>
      <c r="P1536" t="s">
        <v>3354</v>
      </c>
      <c r="Q1536" t="b">
        <v>1</v>
      </c>
      <c r="S1536" t="str">
        <f>"9780310278719"</f>
        <v>9780310278719</v>
      </c>
      <c r="T1536" t="str">
        <f>"9780310320579"</f>
        <v>9780310320579</v>
      </c>
      <c r="U1536" t="b">
        <v>0</v>
      </c>
      <c r="W1536" t="b">
        <v>0</v>
      </c>
    </row>
    <row r="1537" spans="1:23" x14ac:dyDescent="0.3">
      <c r="A1537">
        <v>2981481</v>
      </c>
      <c r="B1537">
        <v>55.17</v>
      </c>
      <c r="C1537" t="s">
        <v>3355</v>
      </c>
      <c r="E1537" t="s">
        <v>23</v>
      </c>
      <c r="F1537" t="s">
        <v>44</v>
      </c>
      <c r="G1537">
        <v>2009</v>
      </c>
      <c r="H1537" t="s">
        <v>66</v>
      </c>
      <c r="K1537" t="s">
        <v>25</v>
      </c>
      <c r="L1537" t="s">
        <v>30</v>
      </c>
      <c r="M1537" t="b">
        <v>1</v>
      </c>
      <c r="N1537" t="s">
        <v>2865</v>
      </c>
      <c r="P1537" t="s">
        <v>2866</v>
      </c>
      <c r="Q1537" t="b">
        <v>1</v>
      </c>
      <c r="S1537" t="str">
        <f>"9780310259336"</f>
        <v>9780310259336</v>
      </c>
      <c r="T1537" t="str">
        <f>"9780310542681"</f>
        <v>9780310542681</v>
      </c>
      <c r="U1537" t="b">
        <v>0</v>
      </c>
      <c r="W1537" t="b">
        <v>0</v>
      </c>
    </row>
    <row r="1538" spans="1:23" x14ac:dyDescent="0.3">
      <c r="A1538">
        <v>2981480</v>
      </c>
      <c r="B1538">
        <v>55.17</v>
      </c>
      <c r="C1538" t="s">
        <v>3356</v>
      </c>
      <c r="D1538" t="s">
        <v>3357</v>
      </c>
      <c r="E1538" t="s">
        <v>23</v>
      </c>
      <c r="F1538" t="s">
        <v>44</v>
      </c>
      <c r="G1538">
        <v>2009</v>
      </c>
      <c r="H1538" t="s">
        <v>99</v>
      </c>
      <c r="K1538" t="s">
        <v>25</v>
      </c>
      <c r="L1538" t="s">
        <v>30</v>
      </c>
      <c r="M1538" t="b">
        <v>1</v>
      </c>
      <c r="N1538" t="s">
        <v>1502</v>
      </c>
      <c r="Q1538" t="b">
        <v>0</v>
      </c>
      <c r="S1538" t="str">
        <f>"9780310290797"</f>
        <v>9780310290797</v>
      </c>
      <c r="T1538" t="str">
        <f>"9780310565857"</f>
        <v>9780310565857</v>
      </c>
      <c r="U1538" t="b">
        <v>0</v>
      </c>
      <c r="W1538" t="b">
        <v>0</v>
      </c>
    </row>
    <row r="1539" spans="1:23" x14ac:dyDescent="0.3">
      <c r="A1539">
        <v>2981479</v>
      </c>
      <c r="B1539">
        <v>51.72</v>
      </c>
      <c r="C1539" t="s">
        <v>3358</v>
      </c>
      <c r="E1539" t="s">
        <v>23</v>
      </c>
      <c r="F1539" t="s">
        <v>44</v>
      </c>
      <c r="G1539">
        <v>2015</v>
      </c>
      <c r="H1539" t="s">
        <v>132</v>
      </c>
      <c r="K1539" t="s">
        <v>25</v>
      </c>
      <c r="L1539" t="s">
        <v>145</v>
      </c>
      <c r="M1539" t="b">
        <v>1</v>
      </c>
      <c r="N1539" t="s">
        <v>3359</v>
      </c>
      <c r="P1539" t="s">
        <v>1216</v>
      </c>
      <c r="Q1539" t="b">
        <v>0</v>
      </c>
      <c r="S1539" t="str">
        <f>"9780310359562"</f>
        <v>9780310359562</v>
      </c>
      <c r="T1539" t="str">
        <f>"9780310356455"</f>
        <v>9780310356455</v>
      </c>
      <c r="U1539" t="b">
        <v>0</v>
      </c>
      <c r="W1539" t="b">
        <v>0</v>
      </c>
    </row>
    <row r="1540" spans="1:23" x14ac:dyDescent="0.3">
      <c r="A1540">
        <v>2981478</v>
      </c>
      <c r="B1540">
        <v>51.72</v>
      </c>
      <c r="C1540" t="s">
        <v>3360</v>
      </c>
      <c r="D1540" t="s">
        <v>3361</v>
      </c>
      <c r="E1540" t="s">
        <v>23</v>
      </c>
      <c r="F1540" t="s">
        <v>44</v>
      </c>
      <c r="G1540">
        <v>2011</v>
      </c>
      <c r="H1540" t="s">
        <v>912</v>
      </c>
      <c r="K1540" t="s">
        <v>25</v>
      </c>
      <c r="L1540" t="s">
        <v>26</v>
      </c>
      <c r="M1540" t="b">
        <v>1</v>
      </c>
      <c r="N1540" t="s">
        <v>3362</v>
      </c>
      <c r="Q1540" t="b">
        <v>0</v>
      </c>
      <c r="S1540" t="str">
        <f>"9780310251262"</f>
        <v>9780310251262</v>
      </c>
      <c r="T1540" t="str">
        <f>"9780310861171"</f>
        <v>9780310861171</v>
      </c>
      <c r="U1540" t="b">
        <v>0</v>
      </c>
      <c r="W1540" t="b">
        <v>0</v>
      </c>
    </row>
    <row r="1541" spans="1:23" x14ac:dyDescent="0.3">
      <c r="A1541">
        <v>2981477</v>
      </c>
      <c r="B1541">
        <v>96.57</v>
      </c>
      <c r="C1541" t="s">
        <v>3363</v>
      </c>
      <c r="D1541" t="s">
        <v>854</v>
      </c>
      <c r="E1541" t="s">
        <v>23</v>
      </c>
      <c r="F1541" t="s">
        <v>44</v>
      </c>
      <c r="G1541">
        <v>2020</v>
      </c>
      <c r="H1541" t="s">
        <v>732</v>
      </c>
      <c r="K1541" t="s">
        <v>25</v>
      </c>
      <c r="L1541" t="s">
        <v>26</v>
      </c>
      <c r="M1541" t="b">
        <v>1</v>
      </c>
      <c r="N1541" t="s">
        <v>855</v>
      </c>
      <c r="Q1541" t="b">
        <v>0</v>
      </c>
      <c r="S1541" t="str">
        <f>"9780310536666"</f>
        <v>9780310536666</v>
      </c>
      <c r="T1541" t="str">
        <f>"9780310099642"</f>
        <v>9780310099642</v>
      </c>
      <c r="U1541" t="b">
        <v>0</v>
      </c>
      <c r="W1541" t="b">
        <v>0</v>
      </c>
    </row>
    <row r="1542" spans="1:23" x14ac:dyDescent="0.3">
      <c r="A1542">
        <v>2981476</v>
      </c>
      <c r="B1542">
        <v>28.39</v>
      </c>
      <c r="C1542" t="s">
        <v>3364</v>
      </c>
      <c r="E1542" t="s">
        <v>23</v>
      </c>
      <c r="F1542" t="s">
        <v>44</v>
      </c>
      <c r="G1542">
        <v>2009</v>
      </c>
      <c r="H1542" t="s">
        <v>3365</v>
      </c>
      <c r="K1542" t="s">
        <v>25</v>
      </c>
      <c r="L1542" t="s">
        <v>30</v>
      </c>
      <c r="M1542" t="b">
        <v>1</v>
      </c>
      <c r="N1542" t="s">
        <v>1721</v>
      </c>
      <c r="P1542" t="s">
        <v>3366</v>
      </c>
      <c r="Q1542" t="b">
        <v>0</v>
      </c>
      <c r="T1542" t="str">
        <f>"9780310567936"</f>
        <v>9780310567936</v>
      </c>
      <c r="U1542" t="b">
        <v>0</v>
      </c>
      <c r="W1542" t="b">
        <v>0</v>
      </c>
    </row>
    <row r="1543" spans="1:23" x14ac:dyDescent="0.3">
      <c r="A1543">
        <v>2981475</v>
      </c>
      <c r="B1543">
        <v>93.12</v>
      </c>
      <c r="C1543" t="s">
        <v>3367</v>
      </c>
      <c r="D1543" t="s">
        <v>3368</v>
      </c>
      <c r="E1543" t="s">
        <v>23</v>
      </c>
      <c r="F1543" t="s">
        <v>44</v>
      </c>
      <c r="G1543">
        <v>2015</v>
      </c>
      <c r="H1543" t="s">
        <v>69</v>
      </c>
      <c r="K1543" t="s">
        <v>25</v>
      </c>
      <c r="L1543" t="s">
        <v>26</v>
      </c>
      <c r="M1543" t="b">
        <v>1</v>
      </c>
      <c r="N1543" t="s">
        <v>44</v>
      </c>
      <c r="Q1543" t="b">
        <v>0</v>
      </c>
      <c r="S1543" t="str">
        <f>"9780310346302"</f>
        <v>9780310346302</v>
      </c>
      <c r="T1543" t="str">
        <f>"9780310346326"</f>
        <v>9780310346326</v>
      </c>
      <c r="U1543" t="b">
        <v>0</v>
      </c>
      <c r="W1543" t="b">
        <v>0</v>
      </c>
    </row>
    <row r="1544" spans="1:23" x14ac:dyDescent="0.3">
      <c r="A1544">
        <v>2981474</v>
      </c>
      <c r="B1544">
        <v>79.319999999999993</v>
      </c>
      <c r="C1544" t="s">
        <v>3369</v>
      </c>
      <c r="D1544" t="s">
        <v>3370</v>
      </c>
      <c r="E1544" t="s">
        <v>23</v>
      </c>
      <c r="F1544" t="s">
        <v>44</v>
      </c>
      <c r="G1544">
        <v>2021</v>
      </c>
      <c r="H1544" t="s">
        <v>1044</v>
      </c>
      <c r="K1544" t="s">
        <v>25</v>
      </c>
      <c r="L1544" t="s">
        <v>26</v>
      </c>
      <c r="M1544" t="b">
        <v>1</v>
      </c>
      <c r="N1544" t="s">
        <v>3371</v>
      </c>
      <c r="Q1544" t="b">
        <v>0</v>
      </c>
      <c r="S1544" t="str">
        <f>"9780310111702"</f>
        <v>9780310111702</v>
      </c>
      <c r="T1544" t="str">
        <f>"9780310111719"</f>
        <v>9780310111719</v>
      </c>
      <c r="U1544" t="b">
        <v>0</v>
      </c>
      <c r="W1544" t="b">
        <v>0</v>
      </c>
    </row>
    <row r="1545" spans="1:23" x14ac:dyDescent="0.3">
      <c r="A1545">
        <v>2981473</v>
      </c>
      <c r="B1545">
        <v>55.17</v>
      </c>
      <c r="C1545" t="s">
        <v>3372</v>
      </c>
      <c r="D1545" t="s">
        <v>3373</v>
      </c>
      <c r="E1545" t="s">
        <v>23</v>
      </c>
      <c r="F1545" t="s">
        <v>44</v>
      </c>
      <c r="G1545">
        <v>2012</v>
      </c>
      <c r="H1545" t="s">
        <v>58</v>
      </c>
      <c r="K1545" t="s">
        <v>25</v>
      </c>
      <c r="L1545" t="s">
        <v>30</v>
      </c>
      <c r="M1545" t="b">
        <v>1</v>
      </c>
      <c r="N1545" t="s">
        <v>3374</v>
      </c>
      <c r="Q1545" t="b">
        <v>0</v>
      </c>
      <c r="S1545" t="str">
        <f>"9780310339533"</f>
        <v>9780310339533</v>
      </c>
      <c r="T1545" t="str">
        <f>"9780310411734"</f>
        <v>9780310411734</v>
      </c>
      <c r="U1545" t="b">
        <v>0</v>
      </c>
      <c r="W1545" t="b">
        <v>0</v>
      </c>
    </row>
    <row r="1546" spans="1:23" x14ac:dyDescent="0.3">
      <c r="A1546">
        <v>2981472</v>
      </c>
      <c r="B1546">
        <v>35.5</v>
      </c>
      <c r="C1546" t="s">
        <v>3375</v>
      </c>
      <c r="D1546" t="s">
        <v>3376</v>
      </c>
      <c r="E1546" t="s">
        <v>23</v>
      </c>
      <c r="F1546" t="s">
        <v>44</v>
      </c>
      <c r="G1546">
        <v>2010</v>
      </c>
      <c r="H1546" t="s">
        <v>58</v>
      </c>
      <c r="K1546" t="s">
        <v>25</v>
      </c>
      <c r="L1546" t="s">
        <v>30</v>
      </c>
      <c r="M1546" t="b">
        <v>1</v>
      </c>
      <c r="N1546" t="s">
        <v>3377</v>
      </c>
      <c r="Q1546" t="b">
        <v>0</v>
      </c>
      <c r="S1546" t="str">
        <f>"9780310242024"</f>
        <v>9780310242024</v>
      </c>
      <c r="T1546" t="str">
        <f>"9780310873044"</f>
        <v>9780310873044</v>
      </c>
      <c r="U1546" t="b">
        <v>0</v>
      </c>
      <c r="W1546" t="b">
        <v>0</v>
      </c>
    </row>
    <row r="1547" spans="1:23" x14ac:dyDescent="0.3">
      <c r="A1547">
        <v>2981471</v>
      </c>
      <c r="B1547">
        <v>55.17</v>
      </c>
      <c r="C1547" t="s">
        <v>3136</v>
      </c>
      <c r="E1547" t="s">
        <v>23</v>
      </c>
      <c r="F1547" t="s">
        <v>44</v>
      </c>
      <c r="G1547">
        <v>2011</v>
      </c>
      <c r="H1547" t="s">
        <v>728</v>
      </c>
      <c r="K1547" t="s">
        <v>25</v>
      </c>
      <c r="L1547" t="s">
        <v>30</v>
      </c>
      <c r="M1547" t="b">
        <v>1</v>
      </c>
      <c r="N1547" t="s">
        <v>31</v>
      </c>
      <c r="P1547" t="s">
        <v>2729</v>
      </c>
      <c r="Q1547" t="b">
        <v>1</v>
      </c>
      <c r="S1547" t="str">
        <f>"9780310334149"</f>
        <v>9780310334149</v>
      </c>
      <c r="T1547" t="str">
        <f>"9780310334484"</f>
        <v>9780310334484</v>
      </c>
      <c r="U1547" t="b">
        <v>0</v>
      </c>
      <c r="W1547" t="b">
        <v>0</v>
      </c>
    </row>
    <row r="1548" spans="1:23" x14ac:dyDescent="0.3">
      <c r="A1548">
        <v>2981470</v>
      </c>
      <c r="B1548">
        <v>49.71</v>
      </c>
      <c r="C1548" t="s">
        <v>3378</v>
      </c>
      <c r="D1548" t="s">
        <v>3379</v>
      </c>
      <c r="E1548" t="s">
        <v>23</v>
      </c>
      <c r="F1548" t="s">
        <v>44</v>
      </c>
      <c r="G1548">
        <v>2009</v>
      </c>
      <c r="H1548" t="s">
        <v>68</v>
      </c>
      <c r="K1548" t="s">
        <v>25</v>
      </c>
      <c r="L1548" t="s">
        <v>30</v>
      </c>
      <c r="M1548" t="b">
        <v>1</v>
      </c>
      <c r="N1548" t="s">
        <v>3380</v>
      </c>
      <c r="Q1548" t="b">
        <v>0</v>
      </c>
      <c r="T1548" t="str">
        <f>"9780310297994"</f>
        <v>9780310297994</v>
      </c>
      <c r="U1548" t="b">
        <v>0</v>
      </c>
      <c r="W1548" t="b">
        <v>0</v>
      </c>
    </row>
    <row r="1549" spans="1:23" x14ac:dyDescent="0.3">
      <c r="A1549">
        <v>2981469</v>
      </c>
      <c r="B1549">
        <v>58.62</v>
      </c>
      <c r="C1549" t="s">
        <v>3381</v>
      </c>
      <c r="D1549" t="s">
        <v>3382</v>
      </c>
      <c r="E1549" t="s">
        <v>23</v>
      </c>
      <c r="F1549" t="s">
        <v>44</v>
      </c>
      <c r="G1549">
        <v>2013</v>
      </c>
      <c r="H1549" t="s">
        <v>58</v>
      </c>
      <c r="I1549" t="s">
        <v>3383</v>
      </c>
      <c r="J1549" t="s">
        <v>3384</v>
      </c>
      <c r="K1549" t="s">
        <v>25</v>
      </c>
      <c r="L1549" t="s">
        <v>30</v>
      </c>
      <c r="M1549" t="b">
        <v>1</v>
      </c>
      <c r="N1549" t="s">
        <v>752</v>
      </c>
      <c r="O1549" t="str">
        <f>"248.4"</f>
        <v>248.4</v>
      </c>
      <c r="Q1549" t="b">
        <v>0</v>
      </c>
      <c r="S1549" t="str">
        <f>"9780310333838"</f>
        <v>9780310333838</v>
      </c>
      <c r="T1549" t="str">
        <f>"9780310333722"</f>
        <v>9780310333722</v>
      </c>
      <c r="U1549" t="b">
        <v>0</v>
      </c>
      <c r="W1549" t="b">
        <v>0</v>
      </c>
    </row>
    <row r="1550" spans="1:23" x14ac:dyDescent="0.3">
      <c r="A1550">
        <v>2981468</v>
      </c>
      <c r="B1550">
        <v>58.62</v>
      </c>
      <c r="C1550" t="s">
        <v>3385</v>
      </c>
      <c r="D1550" t="s">
        <v>3386</v>
      </c>
      <c r="E1550" t="s">
        <v>23</v>
      </c>
      <c r="F1550" t="s">
        <v>44</v>
      </c>
      <c r="G1550">
        <v>2015</v>
      </c>
      <c r="H1550" t="s">
        <v>99</v>
      </c>
      <c r="I1550" t="s">
        <v>3387</v>
      </c>
      <c r="J1550" t="s">
        <v>3388</v>
      </c>
      <c r="K1550" t="s">
        <v>25</v>
      </c>
      <c r="L1550" t="s">
        <v>26</v>
      </c>
      <c r="M1550" t="b">
        <v>1</v>
      </c>
      <c r="N1550" t="s">
        <v>2269</v>
      </c>
      <c r="O1550" t="str">
        <f>"231.7"</f>
        <v>231.7</v>
      </c>
      <c r="Q1550" t="b">
        <v>0</v>
      </c>
      <c r="S1550" t="str">
        <f>"9780310285878"</f>
        <v>9780310285878</v>
      </c>
      <c r="T1550" t="str">
        <f>"9780310344483"</f>
        <v>9780310344483</v>
      </c>
      <c r="U1550" t="b">
        <v>0</v>
      </c>
      <c r="W1550" t="b">
        <v>0</v>
      </c>
    </row>
    <row r="1551" spans="1:23" x14ac:dyDescent="0.3">
      <c r="A1551">
        <v>2981467</v>
      </c>
      <c r="B1551">
        <v>27.57</v>
      </c>
      <c r="C1551" t="s">
        <v>3389</v>
      </c>
      <c r="D1551" t="s">
        <v>1405</v>
      </c>
      <c r="E1551" t="s">
        <v>23</v>
      </c>
      <c r="F1551" t="s">
        <v>44</v>
      </c>
      <c r="G1551">
        <v>2009</v>
      </c>
      <c r="H1551" t="s">
        <v>728</v>
      </c>
      <c r="K1551" t="s">
        <v>25</v>
      </c>
      <c r="L1551" t="s">
        <v>30</v>
      </c>
      <c r="M1551" t="b">
        <v>1</v>
      </c>
      <c r="N1551" t="s">
        <v>776</v>
      </c>
      <c r="P1551" t="s">
        <v>3326</v>
      </c>
      <c r="Q1551" t="b">
        <v>1</v>
      </c>
      <c r="S1551" t="str">
        <f>"9780785217169"</f>
        <v>9780785217169</v>
      </c>
      <c r="T1551" t="str">
        <f>"9780310561880"</f>
        <v>9780310561880</v>
      </c>
      <c r="U1551" t="b">
        <v>0</v>
      </c>
      <c r="W1551" t="b">
        <v>0</v>
      </c>
    </row>
    <row r="1552" spans="1:23" x14ac:dyDescent="0.3">
      <c r="A1552">
        <v>2981466</v>
      </c>
      <c r="B1552">
        <v>51.72</v>
      </c>
      <c r="C1552" t="s">
        <v>3390</v>
      </c>
      <c r="E1552" t="s">
        <v>23</v>
      </c>
      <c r="F1552" t="s">
        <v>44</v>
      </c>
      <c r="G1552">
        <v>2009</v>
      </c>
      <c r="H1552" t="s">
        <v>66</v>
      </c>
      <c r="K1552" t="s">
        <v>25</v>
      </c>
      <c r="L1552" t="s">
        <v>30</v>
      </c>
      <c r="M1552" t="b">
        <v>1</v>
      </c>
      <c r="N1552" t="s">
        <v>2709</v>
      </c>
      <c r="P1552" t="s">
        <v>3052</v>
      </c>
      <c r="Q1552" t="b">
        <v>1</v>
      </c>
      <c r="S1552" t="str">
        <f>"9780310252252"</f>
        <v>9780310252252</v>
      </c>
      <c r="T1552" t="str">
        <f>"9780310317180"</f>
        <v>9780310317180</v>
      </c>
      <c r="U1552" t="b">
        <v>0</v>
      </c>
      <c r="W1552" t="b">
        <v>0</v>
      </c>
    </row>
    <row r="1553" spans="1:23" x14ac:dyDescent="0.3">
      <c r="A1553">
        <v>2981465</v>
      </c>
      <c r="B1553">
        <v>65.52</v>
      </c>
      <c r="C1553" t="s">
        <v>3391</v>
      </c>
      <c r="D1553" t="s">
        <v>3392</v>
      </c>
      <c r="E1553" t="s">
        <v>23</v>
      </c>
      <c r="F1553" t="s">
        <v>44</v>
      </c>
      <c r="G1553">
        <v>2021</v>
      </c>
      <c r="H1553" t="s">
        <v>69</v>
      </c>
      <c r="K1553" t="s">
        <v>25</v>
      </c>
      <c r="L1553" t="s">
        <v>26</v>
      </c>
      <c r="M1553" t="b">
        <v>1</v>
      </c>
      <c r="N1553" t="s">
        <v>2846</v>
      </c>
      <c r="Q1553" t="b">
        <v>0</v>
      </c>
      <c r="S1553" t="str">
        <f>"9780310361640"</f>
        <v>9780310361640</v>
      </c>
      <c r="T1553" t="str">
        <f>"9780310361657"</f>
        <v>9780310361657</v>
      </c>
      <c r="U1553" t="b">
        <v>0</v>
      </c>
      <c r="W1553" t="b">
        <v>0</v>
      </c>
    </row>
    <row r="1554" spans="1:23" x14ac:dyDescent="0.3">
      <c r="A1554">
        <v>2981464</v>
      </c>
      <c r="B1554">
        <v>39.049999999999997</v>
      </c>
      <c r="C1554" t="s">
        <v>3393</v>
      </c>
      <c r="E1554" t="s">
        <v>23</v>
      </c>
      <c r="F1554" t="s">
        <v>44</v>
      </c>
      <c r="G1554">
        <v>2010</v>
      </c>
      <c r="H1554" t="s">
        <v>132</v>
      </c>
      <c r="K1554" t="s">
        <v>25</v>
      </c>
      <c r="L1554" t="s">
        <v>30</v>
      </c>
      <c r="M1554" t="b">
        <v>1</v>
      </c>
      <c r="N1554" t="s">
        <v>1417</v>
      </c>
      <c r="Q1554" t="b">
        <v>0</v>
      </c>
      <c r="S1554" t="str">
        <f>"9780310329121"</f>
        <v>9780310329121</v>
      </c>
      <c r="T1554" t="str">
        <f>"9780310400554"</f>
        <v>9780310400554</v>
      </c>
      <c r="U1554" t="b">
        <v>0</v>
      </c>
      <c r="W1554" t="b">
        <v>0</v>
      </c>
    </row>
    <row r="1555" spans="1:23" x14ac:dyDescent="0.3">
      <c r="A1555">
        <v>2981463</v>
      </c>
      <c r="B1555">
        <v>55.17</v>
      </c>
      <c r="C1555" t="s">
        <v>3394</v>
      </c>
      <c r="D1555" t="s">
        <v>3395</v>
      </c>
      <c r="E1555" t="s">
        <v>23</v>
      </c>
      <c r="F1555" t="s">
        <v>44</v>
      </c>
      <c r="G1555">
        <v>2009</v>
      </c>
      <c r="H1555" t="s">
        <v>89</v>
      </c>
      <c r="K1555" t="s">
        <v>25</v>
      </c>
      <c r="L1555" t="s">
        <v>30</v>
      </c>
      <c r="M1555" t="b">
        <v>1</v>
      </c>
      <c r="N1555" t="s">
        <v>3396</v>
      </c>
      <c r="Q1555" t="b">
        <v>0</v>
      </c>
      <c r="S1555" t="str">
        <f>"9780310256533"</f>
        <v>9780310256533</v>
      </c>
      <c r="T1555" t="str">
        <f>"9780310316763"</f>
        <v>9780310316763</v>
      </c>
      <c r="U1555" t="b">
        <v>0</v>
      </c>
      <c r="W1555" t="b">
        <v>0</v>
      </c>
    </row>
    <row r="1556" spans="1:23" x14ac:dyDescent="0.3">
      <c r="A1556">
        <v>2981462</v>
      </c>
      <c r="B1556">
        <v>14.18</v>
      </c>
      <c r="C1556" t="s">
        <v>3397</v>
      </c>
      <c r="D1556" t="s">
        <v>3398</v>
      </c>
      <c r="E1556" t="s">
        <v>23</v>
      </c>
      <c r="F1556" t="s">
        <v>44</v>
      </c>
      <c r="G1556">
        <v>2018</v>
      </c>
      <c r="H1556" t="s">
        <v>772</v>
      </c>
      <c r="K1556" t="s">
        <v>25</v>
      </c>
      <c r="L1556" t="s">
        <v>30</v>
      </c>
      <c r="M1556" t="b">
        <v>1</v>
      </c>
      <c r="N1556" t="s">
        <v>958</v>
      </c>
      <c r="Q1556" t="b">
        <v>1</v>
      </c>
      <c r="T1556" t="str">
        <f>"9780310352563"</f>
        <v>9780310352563</v>
      </c>
      <c r="U1556" t="b">
        <v>0</v>
      </c>
      <c r="W1556" t="b">
        <v>0</v>
      </c>
    </row>
    <row r="1557" spans="1:23" x14ac:dyDescent="0.3">
      <c r="A1557">
        <v>2981461</v>
      </c>
      <c r="B1557">
        <v>28.39</v>
      </c>
      <c r="C1557" t="s">
        <v>3399</v>
      </c>
      <c r="E1557" t="s">
        <v>23</v>
      </c>
      <c r="F1557" t="s">
        <v>44</v>
      </c>
      <c r="G1557">
        <v>2011</v>
      </c>
      <c r="H1557" t="s">
        <v>3400</v>
      </c>
      <c r="K1557" t="s">
        <v>25</v>
      </c>
      <c r="L1557" t="s">
        <v>30</v>
      </c>
      <c r="M1557" t="b">
        <v>1</v>
      </c>
      <c r="N1557" t="s">
        <v>3401</v>
      </c>
      <c r="Q1557" t="b">
        <v>0</v>
      </c>
      <c r="T1557" t="str">
        <f>"9780310426653"</f>
        <v>9780310426653</v>
      </c>
      <c r="U1557" t="b">
        <v>0</v>
      </c>
      <c r="W1557" t="b">
        <v>0</v>
      </c>
    </row>
    <row r="1558" spans="1:23" x14ac:dyDescent="0.3">
      <c r="A1558">
        <v>2981460</v>
      </c>
      <c r="B1558">
        <v>55.17</v>
      </c>
      <c r="C1558" t="s">
        <v>3402</v>
      </c>
      <c r="D1558" t="s">
        <v>3403</v>
      </c>
      <c r="E1558" t="s">
        <v>23</v>
      </c>
      <c r="F1558" t="s">
        <v>44</v>
      </c>
      <c r="G1558">
        <v>2018</v>
      </c>
      <c r="H1558" t="s">
        <v>3404</v>
      </c>
      <c r="K1558" t="s">
        <v>25</v>
      </c>
      <c r="L1558" t="s">
        <v>26</v>
      </c>
      <c r="M1558" t="b">
        <v>1</v>
      </c>
      <c r="N1558" t="s">
        <v>3405</v>
      </c>
      <c r="Q1558" t="b">
        <v>0</v>
      </c>
      <c r="S1558" t="str">
        <f>"9780310766537"</f>
        <v>9780310766537</v>
      </c>
      <c r="T1558" t="str">
        <f>"9780310766490"</f>
        <v>9780310766490</v>
      </c>
      <c r="U1558" t="b">
        <v>0</v>
      </c>
      <c r="W1558" t="b">
        <v>0</v>
      </c>
    </row>
    <row r="1559" spans="1:23" x14ac:dyDescent="0.3">
      <c r="A1559">
        <v>2981459</v>
      </c>
      <c r="B1559">
        <v>63.93</v>
      </c>
      <c r="C1559" t="s">
        <v>3406</v>
      </c>
      <c r="D1559" t="s">
        <v>3407</v>
      </c>
      <c r="E1559" t="s">
        <v>23</v>
      </c>
      <c r="F1559" t="s">
        <v>44</v>
      </c>
      <c r="G1559">
        <v>2011</v>
      </c>
      <c r="H1559" t="s">
        <v>736</v>
      </c>
      <c r="I1559" t="s">
        <v>3408</v>
      </c>
      <c r="J1559" t="s">
        <v>895</v>
      </c>
      <c r="K1559" t="s">
        <v>25</v>
      </c>
      <c r="L1559" t="s">
        <v>26</v>
      </c>
      <c r="M1559" t="b">
        <v>1</v>
      </c>
      <c r="N1559" t="s">
        <v>3409</v>
      </c>
      <c r="O1559" t="str">
        <f>"248.8/42"</f>
        <v>248.8/42</v>
      </c>
      <c r="Q1559" t="b">
        <v>0</v>
      </c>
      <c r="T1559" t="str">
        <f>"9780310562320"</f>
        <v>9780310562320</v>
      </c>
      <c r="U1559" t="b">
        <v>0</v>
      </c>
      <c r="W1559" t="b">
        <v>0</v>
      </c>
    </row>
    <row r="1560" spans="1:23" x14ac:dyDescent="0.3">
      <c r="A1560">
        <v>2981458</v>
      </c>
      <c r="B1560">
        <v>34.47</v>
      </c>
      <c r="C1560" t="s">
        <v>3410</v>
      </c>
      <c r="D1560" t="s">
        <v>2723</v>
      </c>
      <c r="E1560" t="s">
        <v>23</v>
      </c>
      <c r="F1560" t="s">
        <v>44</v>
      </c>
      <c r="G1560">
        <v>2019</v>
      </c>
      <c r="H1560" t="s">
        <v>772</v>
      </c>
      <c r="K1560" t="s">
        <v>25</v>
      </c>
      <c r="L1560" t="s">
        <v>26</v>
      </c>
      <c r="M1560" t="b">
        <v>1</v>
      </c>
      <c r="N1560" t="s">
        <v>2827</v>
      </c>
      <c r="Q1560" t="b">
        <v>1</v>
      </c>
      <c r="S1560" t="str">
        <f>"9780310352808"</f>
        <v>9780310352808</v>
      </c>
      <c r="T1560" t="str">
        <f>"9780310352815"</f>
        <v>9780310352815</v>
      </c>
      <c r="U1560" t="b">
        <v>0</v>
      </c>
      <c r="W1560" t="b">
        <v>0</v>
      </c>
    </row>
    <row r="1561" spans="1:23" x14ac:dyDescent="0.3">
      <c r="A1561">
        <v>2981457</v>
      </c>
      <c r="B1561">
        <v>44.82</v>
      </c>
      <c r="C1561" t="s">
        <v>3411</v>
      </c>
      <c r="E1561" t="s">
        <v>23</v>
      </c>
      <c r="F1561" t="s">
        <v>44</v>
      </c>
      <c r="G1561">
        <v>2009</v>
      </c>
      <c r="H1561" t="s">
        <v>728</v>
      </c>
      <c r="K1561" t="s">
        <v>25</v>
      </c>
      <c r="L1561" t="s">
        <v>30</v>
      </c>
      <c r="M1561" t="b">
        <v>1</v>
      </c>
      <c r="N1561" t="s">
        <v>3066</v>
      </c>
      <c r="P1561" t="s">
        <v>3412</v>
      </c>
      <c r="Q1561" t="b">
        <v>1</v>
      </c>
      <c r="S1561" t="str">
        <f>"9780310670216"</f>
        <v>9780310670216</v>
      </c>
      <c r="T1561" t="str">
        <f>"9780310830085"</f>
        <v>9780310830085</v>
      </c>
      <c r="U1561" t="b">
        <v>0</v>
      </c>
      <c r="W1561" t="b">
        <v>0</v>
      </c>
    </row>
    <row r="1562" spans="1:23" x14ac:dyDescent="0.3">
      <c r="A1562">
        <v>2981456</v>
      </c>
      <c r="B1562">
        <v>46.16</v>
      </c>
      <c r="C1562" t="s">
        <v>3413</v>
      </c>
      <c r="E1562" t="s">
        <v>23</v>
      </c>
      <c r="F1562" t="s">
        <v>44</v>
      </c>
      <c r="G1562">
        <v>2009</v>
      </c>
      <c r="H1562" t="s">
        <v>62</v>
      </c>
      <c r="K1562" t="s">
        <v>25</v>
      </c>
      <c r="L1562" t="s">
        <v>30</v>
      </c>
      <c r="M1562" t="b">
        <v>1</v>
      </c>
      <c r="N1562" t="s">
        <v>2686</v>
      </c>
      <c r="Q1562" t="b">
        <v>0</v>
      </c>
      <c r="T1562" t="str">
        <f>"9780310564560"</f>
        <v>9780310564560</v>
      </c>
      <c r="U1562" t="b">
        <v>0</v>
      </c>
      <c r="W1562" t="b">
        <v>0</v>
      </c>
    </row>
    <row r="1563" spans="1:23" x14ac:dyDescent="0.3">
      <c r="A1563">
        <v>2981252</v>
      </c>
      <c r="B1563">
        <v>182.82</v>
      </c>
      <c r="C1563" t="s">
        <v>3450</v>
      </c>
      <c r="D1563" t="s">
        <v>3451</v>
      </c>
      <c r="E1563" t="s">
        <v>23</v>
      </c>
      <c r="F1563" t="s">
        <v>106</v>
      </c>
      <c r="G1563">
        <v>2020</v>
      </c>
      <c r="H1563" t="s">
        <v>1143</v>
      </c>
      <c r="K1563" t="s">
        <v>25</v>
      </c>
      <c r="L1563" t="s">
        <v>26</v>
      </c>
      <c r="M1563" t="b">
        <v>1</v>
      </c>
      <c r="N1563" t="s">
        <v>2340</v>
      </c>
      <c r="P1563" t="s">
        <v>3452</v>
      </c>
      <c r="Q1563" t="b">
        <v>0</v>
      </c>
      <c r="S1563" t="str">
        <f>"9780310098362"</f>
        <v>9780310098362</v>
      </c>
      <c r="T1563" t="str">
        <f>"9780310098614"</f>
        <v>9780310098614</v>
      </c>
      <c r="U1563" t="b">
        <v>0</v>
      </c>
      <c r="W1563" t="b">
        <v>0</v>
      </c>
    </row>
    <row r="1564" spans="1:23" x14ac:dyDescent="0.3">
      <c r="A1564">
        <v>2981250</v>
      </c>
      <c r="B1564">
        <v>62.07</v>
      </c>
      <c r="C1564" t="s">
        <v>3453</v>
      </c>
      <c r="D1564" t="s">
        <v>3454</v>
      </c>
      <c r="E1564" t="s">
        <v>23</v>
      </c>
      <c r="F1564" t="s">
        <v>44</v>
      </c>
      <c r="G1564">
        <v>2018</v>
      </c>
      <c r="H1564" t="s">
        <v>58</v>
      </c>
      <c r="K1564" t="s">
        <v>25</v>
      </c>
      <c r="L1564" t="s">
        <v>26</v>
      </c>
      <c r="M1564" t="b">
        <v>1</v>
      </c>
      <c r="N1564" t="s">
        <v>3455</v>
      </c>
      <c r="Q1564" t="b">
        <v>0</v>
      </c>
      <c r="S1564" t="str">
        <f>"9780310349921"</f>
        <v>9780310349921</v>
      </c>
      <c r="T1564" t="str">
        <f>"9780310349549"</f>
        <v>9780310349549</v>
      </c>
      <c r="U1564" t="b">
        <v>0</v>
      </c>
      <c r="W1564" t="b">
        <v>0</v>
      </c>
    </row>
    <row r="1565" spans="1:23" x14ac:dyDescent="0.3">
      <c r="A1565">
        <v>2981249</v>
      </c>
      <c r="B1565">
        <v>65.52</v>
      </c>
      <c r="C1565" t="s">
        <v>3456</v>
      </c>
      <c r="D1565" t="s">
        <v>3457</v>
      </c>
      <c r="E1565" t="s">
        <v>23</v>
      </c>
      <c r="F1565" t="s">
        <v>44</v>
      </c>
      <c r="G1565">
        <v>2019</v>
      </c>
      <c r="H1565" t="s">
        <v>121</v>
      </c>
      <c r="K1565" t="s">
        <v>25</v>
      </c>
      <c r="L1565" t="s">
        <v>26</v>
      </c>
      <c r="M1565" t="b">
        <v>1</v>
      </c>
      <c r="N1565" t="s">
        <v>3458</v>
      </c>
      <c r="Q1565" t="b">
        <v>0</v>
      </c>
      <c r="S1565" t="str">
        <f>"9780310348931"</f>
        <v>9780310348931</v>
      </c>
      <c r="T1565" t="str">
        <f>"9780310348955"</f>
        <v>9780310348955</v>
      </c>
      <c r="U1565" t="b">
        <v>0</v>
      </c>
      <c r="W1565" t="b">
        <v>0</v>
      </c>
    </row>
    <row r="1566" spans="1:23" x14ac:dyDescent="0.3">
      <c r="A1566">
        <v>2981248</v>
      </c>
      <c r="B1566">
        <v>58.62</v>
      </c>
      <c r="C1566" t="s">
        <v>3459</v>
      </c>
      <c r="D1566" t="s">
        <v>3460</v>
      </c>
      <c r="E1566" t="s">
        <v>23</v>
      </c>
      <c r="F1566" t="s">
        <v>44</v>
      </c>
      <c r="G1566">
        <v>2017</v>
      </c>
      <c r="H1566" t="s">
        <v>58</v>
      </c>
      <c r="K1566" t="s">
        <v>25</v>
      </c>
      <c r="L1566" t="s">
        <v>26</v>
      </c>
      <c r="M1566" t="b">
        <v>1</v>
      </c>
      <c r="N1566" t="s">
        <v>3461</v>
      </c>
      <c r="Q1566" t="b">
        <v>0</v>
      </c>
      <c r="S1566" t="str">
        <f>"9780310344759"</f>
        <v>9780310344759</v>
      </c>
      <c r="T1566" t="str">
        <f>"9780310344773"</f>
        <v>9780310344773</v>
      </c>
      <c r="U1566" t="b">
        <v>0</v>
      </c>
      <c r="W1566" t="b">
        <v>0</v>
      </c>
    </row>
    <row r="1567" spans="1:23" x14ac:dyDescent="0.3">
      <c r="A1567">
        <v>2981247</v>
      </c>
      <c r="B1567">
        <v>35.5</v>
      </c>
      <c r="C1567" t="s">
        <v>3462</v>
      </c>
      <c r="E1567" t="s">
        <v>23</v>
      </c>
      <c r="F1567" t="s">
        <v>44</v>
      </c>
      <c r="G1567">
        <v>2013</v>
      </c>
      <c r="H1567" t="s">
        <v>728</v>
      </c>
      <c r="K1567" t="s">
        <v>25</v>
      </c>
      <c r="L1567" t="s">
        <v>30</v>
      </c>
      <c r="M1567" t="b">
        <v>1</v>
      </c>
      <c r="N1567" t="s">
        <v>3463</v>
      </c>
      <c r="P1567" t="s">
        <v>3464</v>
      </c>
      <c r="Q1567" t="b">
        <v>1</v>
      </c>
      <c r="S1567" t="str">
        <f>"9780310330547"</f>
        <v>9780310330547</v>
      </c>
      <c r="T1567" t="str">
        <f>"9780310330554"</f>
        <v>9780310330554</v>
      </c>
      <c r="U1567" t="b">
        <v>0</v>
      </c>
      <c r="W1567" t="b">
        <v>0</v>
      </c>
    </row>
    <row r="1568" spans="1:23" x14ac:dyDescent="0.3">
      <c r="A1568">
        <v>2981246</v>
      </c>
      <c r="B1568">
        <v>58.62</v>
      </c>
      <c r="C1568" t="s">
        <v>3465</v>
      </c>
      <c r="D1568" t="s">
        <v>3466</v>
      </c>
      <c r="E1568" t="s">
        <v>23</v>
      </c>
      <c r="F1568" t="s">
        <v>44</v>
      </c>
      <c r="G1568">
        <v>2018</v>
      </c>
      <c r="H1568" t="s">
        <v>58</v>
      </c>
      <c r="K1568" t="s">
        <v>25</v>
      </c>
      <c r="L1568" t="s">
        <v>26</v>
      </c>
      <c r="M1568" t="b">
        <v>1</v>
      </c>
      <c r="N1568" t="s">
        <v>3467</v>
      </c>
      <c r="Q1568" t="b">
        <v>0</v>
      </c>
      <c r="S1568" t="str">
        <f>"9780310337775"</f>
        <v>9780310337775</v>
      </c>
      <c r="T1568" t="str">
        <f>"9780310337867"</f>
        <v>9780310337867</v>
      </c>
      <c r="U1568" t="b">
        <v>0</v>
      </c>
      <c r="W1568" t="b">
        <v>0</v>
      </c>
    </row>
    <row r="1569" spans="1:23" x14ac:dyDescent="0.3">
      <c r="A1569">
        <v>2981245</v>
      </c>
      <c r="B1569">
        <v>62.07</v>
      </c>
      <c r="C1569" t="s">
        <v>3468</v>
      </c>
      <c r="D1569" t="s">
        <v>3469</v>
      </c>
      <c r="E1569" t="s">
        <v>23</v>
      </c>
      <c r="F1569" t="s">
        <v>44</v>
      </c>
      <c r="G1569">
        <v>2017</v>
      </c>
      <c r="H1569" t="s">
        <v>62</v>
      </c>
      <c r="K1569" t="s">
        <v>25</v>
      </c>
      <c r="L1569" t="s">
        <v>26</v>
      </c>
      <c r="M1569" t="b">
        <v>1</v>
      </c>
      <c r="N1569" t="s">
        <v>3470</v>
      </c>
      <c r="Q1569" t="b">
        <v>0</v>
      </c>
      <c r="S1569" t="str">
        <f>"9780310350569"</f>
        <v>9780310350569</v>
      </c>
      <c r="T1569" t="str">
        <f>"9780310351672"</f>
        <v>9780310351672</v>
      </c>
      <c r="U1569" t="b">
        <v>0</v>
      </c>
      <c r="W1569" t="b">
        <v>0</v>
      </c>
    </row>
    <row r="1570" spans="1:23" x14ac:dyDescent="0.3">
      <c r="A1570">
        <v>2981244</v>
      </c>
      <c r="B1570">
        <v>62.07</v>
      </c>
      <c r="C1570" t="s">
        <v>3471</v>
      </c>
      <c r="E1570" t="s">
        <v>23</v>
      </c>
      <c r="F1570" t="s">
        <v>44</v>
      </c>
      <c r="G1570">
        <v>2021</v>
      </c>
      <c r="H1570" t="s">
        <v>738</v>
      </c>
      <c r="I1570" t="s">
        <v>3472</v>
      </c>
      <c r="K1570" t="s">
        <v>25</v>
      </c>
      <c r="L1570" t="s">
        <v>26</v>
      </c>
      <c r="M1570" t="b">
        <v>1</v>
      </c>
      <c r="N1570" t="s">
        <v>760</v>
      </c>
      <c r="O1570" t="str">
        <f>"220.6"</f>
        <v>220.6</v>
      </c>
      <c r="Q1570" t="b">
        <v>0</v>
      </c>
      <c r="S1570" t="str">
        <f>"9780310538851"</f>
        <v>9780310538851</v>
      </c>
      <c r="T1570" t="str">
        <f>"9780310538868"</f>
        <v>9780310538868</v>
      </c>
      <c r="U1570" t="b">
        <v>0</v>
      </c>
      <c r="W1570" t="b">
        <v>0</v>
      </c>
    </row>
    <row r="1571" spans="1:23" x14ac:dyDescent="0.3">
      <c r="A1571">
        <v>2981243</v>
      </c>
      <c r="B1571">
        <v>65.52</v>
      </c>
      <c r="C1571" t="s">
        <v>3473</v>
      </c>
      <c r="D1571" t="s">
        <v>3474</v>
      </c>
      <c r="E1571" t="s">
        <v>23</v>
      </c>
      <c r="F1571" t="s">
        <v>44</v>
      </c>
      <c r="G1571">
        <v>2021</v>
      </c>
      <c r="H1571" t="s">
        <v>62</v>
      </c>
      <c r="K1571" t="s">
        <v>25</v>
      </c>
      <c r="L1571" t="s">
        <v>26</v>
      </c>
      <c r="M1571" t="b">
        <v>1</v>
      </c>
      <c r="N1571" t="s">
        <v>1008</v>
      </c>
      <c r="Q1571" t="b">
        <v>0</v>
      </c>
      <c r="S1571" t="str">
        <f>"9780310362593"</f>
        <v>9780310362593</v>
      </c>
      <c r="T1571" t="str">
        <f>"9780310362609"</f>
        <v>9780310362609</v>
      </c>
      <c r="U1571" t="b">
        <v>0</v>
      </c>
      <c r="W1571" t="b">
        <v>0</v>
      </c>
    </row>
    <row r="1572" spans="1:23" x14ac:dyDescent="0.3">
      <c r="A1572">
        <v>2981242</v>
      </c>
      <c r="B1572">
        <v>51.72</v>
      </c>
      <c r="C1572" t="s">
        <v>3475</v>
      </c>
      <c r="D1572" t="s">
        <v>3476</v>
      </c>
      <c r="E1572" t="s">
        <v>23</v>
      </c>
      <c r="F1572" t="s">
        <v>44</v>
      </c>
      <c r="G1572">
        <v>2018</v>
      </c>
      <c r="H1572" t="s">
        <v>1204</v>
      </c>
      <c r="K1572" t="s">
        <v>25</v>
      </c>
      <c r="L1572" t="s">
        <v>26</v>
      </c>
      <c r="M1572" t="b">
        <v>1</v>
      </c>
      <c r="N1572" t="s">
        <v>3477</v>
      </c>
      <c r="Q1572" t="b">
        <v>0</v>
      </c>
      <c r="S1572" t="str">
        <f>"9780310352600"</f>
        <v>9780310352600</v>
      </c>
      <c r="T1572" t="str">
        <f>"9780310352617"</f>
        <v>9780310352617</v>
      </c>
      <c r="U1572" t="b">
        <v>0</v>
      </c>
      <c r="W1572" t="b">
        <v>0</v>
      </c>
    </row>
    <row r="1573" spans="1:23" x14ac:dyDescent="0.3">
      <c r="A1573">
        <v>2981241</v>
      </c>
      <c r="B1573">
        <v>62.07</v>
      </c>
      <c r="C1573" t="s">
        <v>3478</v>
      </c>
      <c r="D1573" t="s">
        <v>3479</v>
      </c>
      <c r="E1573" t="s">
        <v>23</v>
      </c>
      <c r="F1573" t="s">
        <v>44</v>
      </c>
      <c r="G1573">
        <v>2019</v>
      </c>
      <c r="H1573" t="s">
        <v>69</v>
      </c>
      <c r="K1573" t="s">
        <v>25</v>
      </c>
      <c r="L1573" t="s">
        <v>26</v>
      </c>
      <c r="M1573" t="b">
        <v>1</v>
      </c>
      <c r="N1573" t="s">
        <v>904</v>
      </c>
      <c r="Q1573" t="b">
        <v>0</v>
      </c>
      <c r="S1573" t="str">
        <f>"9780310347644"</f>
        <v>9780310347644</v>
      </c>
      <c r="T1573" t="str">
        <f>"9780310347651"</f>
        <v>9780310347651</v>
      </c>
      <c r="U1573" t="b">
        <v>0</v>
      </c>
      <c r="W1573" t="b">
        <v>0</v>
      </c>
    </row>
    <row r="1574" spans="1:23" x14ac:dyDescent="0.3">
      <c r="A1574">
        <v>2981240</v>
      </c>
      <c r="B1574">
        <v>65.52</v>
      </c>
      <c r="C1574" t="s">
        <v>3480</v>
      </c>
      <c r="D1574" t="s">
        <v>3481</v>
      </c>
      <c r="E1574" t="s">
        <v>23</v>
      </c>
      <c r="F1574" t="s">
        <v>44</v>
      </c>
      <c r="G1574">
        <v>2020</v>
      </c>
      <c r="H1574" t="s">
        <v>58</v>
      </c>
      <c r="K1574" t="s">
        <v>25</v>
      </c>
      <c r="L1574" t="s">
        <v>26</v>
      </c>
      <c r="M1574" t="b">
        <v>1</v>
      </c>
      <c r="N1574" t="s">
        <v>3482</v>
      </c>
      <c r="Q1574" t="b">
        <v>0</v>
      </c>
      <c r="S1574" t="str">
        <f>"9780310358602"</f>
        <v>9780310358602</v>
      </c>
      <c r="T1574" t="str">
        <f>"9780310358626"</f>
        <v>9780310358626</v>
      </c>
      <c r="U1574" t="b">
        <v>0</v>
      </c>
      <c r="W1574" t="b">
        <v>0</v>
      </c>
    </row>
    <row r="1575" spans="1:23" x14ac:dyDescent="0.3">
      <c r="A1575">
        <v>2981239</v>
      </c>
      <c r="B1575">
        <v>55.17</v>
      </c>
      <c r="C1575" t="s">
        <v>3483</v>
      </c>
      <c r="D1575" t="s">
        <v>3484</v>
      </c>
      <c r="E1575" t="s">
        <v>23</v>
      </c>
      <c r="F1575" t="s">
        <v>44</v>
      </c>
      <c r="G1575">
        <v>2014</v>
      </c>
      <c r="H1575" t="s">
        <v>68</v>
      </c>
      <c r="K1575" t="s">
        <v>25</v>
      </c>
      <c r="L1575" t="s">
        <v>30</v>
      </c>
      <c r="M1575" t="b">
        <v>1</v>
      </c>
      <c r="N1575" t="s">
        <v>3485</v>
      </c>
      <c r="Q1575" t="b">
        <v>0</v>
      </c>
      <c r="S1575" t="str">
        <f>"9780310337119"</f>
        <v>9780310337119</v>
      </c>
      <c r="T1575" t="str">
        <f>"9780310337089"</f>
        <v>9780310337089</v>
      </c>
      <c r="U1575" t="b">
        <v>0</v>
      </c>
      <c r="W1575" t="b">
        <v>0</v>
      </c>
    </row>
    <row r="1576" spans="1:23" x14ac:dyDescent="0.3">
      <c r="A1576">
        <v>2981238</v>
      </c>
      <c r="B1576">
        <v>55.17</v>
      </c>
      <c r="C1576" t="s">
        <v>3486</v>
      </c>
      <c r="D1576" t="s">
        <v>3487</v>
      </c>
      <c r="E1576" t="s">
        <v>23</v>
      </c>
      <c r="F1576" t="s">
        <v>44</v>
      </c>
      <c r="G1576">
        <v>2009</v>
      </c>
      <c r="H1576" t="s">
        <v>58</v>
      </c>
      <c r="K1576" t="s">
        <v>25</v>
      </c>
      <c r="L1576" t="s">
        <v>30</v>
      </c>
      <c r="M1576" t="b">
        <v>1</v>
      </c>
      <c r="N1576" t="s">
        <v>3488</v>
      </c>
      <c r="Q1576" t="b">
        <v>0</v>
      </c>
      <c r="S1576" t="str">
        <f>"9780310265740"</f>
        <v>9780310265740</v>
      </c>
      <c r="T1576" t="str">
        <f>"9780310862062"</f>
        <v>9780310862062</v>
      </c>
      <c r="U1576" t="b">
        <v>0</v>
      </c>
      <c r="W1576" t="b">
        <v>0</v>
      </c>
    </row>
    <row r="1577" spans="1:23" x14ac:dyDescent="0.3">
      <c r="A1577">
        <v>2981237</v>
      </c>
      <c r="B1577">
        <v>55.17</v>
      </c>
      <c r="C1577" t="s">
        <v>3489</v>
      </c>
      <c r="D1577" t="s">
        <v>3490</v>
      </c>
      <c r="E1577" t="s">
        <v>23</v>
      </c>
      <c r="F1577" t="s">
        <v>44</v>
      </c>
      <c r="G1577">
        <v>2014</v>
      </c>
      <c r="H1577" t="s">
        <v>132</v>
      </c>
      <c r="K1577" t="s">
        <v>25</v>
      </c>
      <c r="L1577" t="s">
        <v>26</v>
      </c>
      <c r="M1577" t="b">
        <v>1</v>
      </c>
      <c r="N1577" t="s">
        <v>2739</v>
      </c>
      <c r="Q1577" t="b">
        <v>0</v>
      </c>
      <c r="S1577" t="str">
        <f>"9780310330998"</f>
        <v>9780310330998</v>
      </c>
      <c r="T1577" t="str">
        <f>"9780310421702"</f>
        <v>9780310421702</v>
      </c>
      <c r="U1577" t="b">
        <v>0</v>
      </c>
      <c r="W1577" t="b">
        <v>0</v>
      </c>
    </row>
    <row r="1578" spans="1:23" x14ac:dyDescent="0.3">
      <c r="A1578">
        <v>2981236</v>
      </c>
      <c r="B1578">
        <v>65.52</v>
      </c>
      <c r="C1578" t="s">
        <v>3491</v>
      </c>
      <c r="D1578" t="s">
        <v>3492</v>
      </c>
      <c r="E1578" t="s">
        <v>23</v>
      </c>
      <c r="F1578" t="s">
        <v>44</v>
      </c>
      <c r="G1578">
        <v>2021</v>
      </c>
      <c r="H1578" t="s">
        <v>737</v>
      </c>
      <c r="K1578" t="s">
        <v>25</v>
      </c>
      <c r="L1578" t="s">
        <v>26</v>
      </c>
      <c r="M1578" t="b">
        <v>1</v>
      </c>
      <c r="N1578" t="s">
        <v>3493</v>
      </c>
      <c r="Q1578" t="b">
        <v>0</v>
      </c>
      <c r="S1578" t="str">
        <f>"9780310458647"</f>
        <v>9780310458647</v>
      </c>
      <c r="T1578" t="str">
        <f>"9780310458623"</f>
        <v>9780310458623</v>
      </c>
      <c r="U1578" t="b">
        <v>0</v>
      </c>
      <c r="W1578" t="b">
        <v>0</v>
      </c>
    </row>
    <row r="1579" spans="1:23" x14ac:dyDescent="0.3">
      <c r="A1579">
        <v>2981235</v>
      </c>
      <c r="B1579">
        <v>55.17</v>
      </c>
      <c r="C1579" t="s">
        <v>3494</v>
      </c>
      <c r="D1579" t="s">
        <v>3495</v>
      </c>
      <c r="E1579" t="s">
        <v>23</v>
      </c>
      <c r="F1579" t="s">
        <v>44</v>
      </c>
      <c r="G1579">
        <v>2010</v>
      </c>
      <c r="H1579" t="s">
        <v>737</v>
      </c>
      <c r="K1579" t="s">
        <v>25</v>
      </c>
      <c r="L1579" t="s">
        <v>30</v>
      </c>
      <c r="M1579" t="b">
        <v>1</v>
      </c>
      <c r="N1579" t="s">
        <v>3496</v>
      </c>
      <c r="Q1579" t="b">
        <v>0</v>
      </c>
      <c r="S1579" t="str">
        <f>"9780310319993"</f>
        <v>9780310319993</v>
      </c>
      <c r="T1579" t="str">
        <f>"9780310412274"</f>
        <v>9780310412274</v>
      </c>
      <c r="U1579" t="b">
        <v>0</v>
      </c>
      <c r="W1579" t="b">
        <v>0</v>
      </c>
    </row>
    <row r="1580" spans="1:23" x14ac:dyDescent="0.3">
      <c r="A1580">
        <v>2981234</v>
      </c>
      <c r="B1580">
        <v>39.049999999999997</v>
      </c>
      <c r="C1580" t="s">
        <v>3497</v>
      </c>
      <c r="E1580" t="s">
        <v>23</v>
      </c>
      <c r="F1580" t="s">
        <v>44</v>
      </c>
      <c r="G1580">
        <v>2009</v>
      </c>
      <c r="H1580" t="s">
        <v>728</v>
      </c>
      <c r="K1580" t="s">
        <v>25</v>
      </c>
      <c r="L1580" t="s">
        <v>30</v>
      </c>
      <c r="M1580" t="b">
        <v>1</v>
      </c>
      <c r="N1580" t="s">
        <v>3110</v>
      </c>
      <c r="Q1580" t="b">
        <v>1</v>
      </c>
      <c r="T1580" t="str">
        <f>"9780310566373"</f>
        <v>9780310566373</v>
      </c>
      <c r="U1580" t="b">
        <v>0</v>
      </c>
      <c r="W1580" t="b">
        <v>0</v>
      </c>
    </row>
    <row r="1581" spans="1:23" x14ac:dyDescent="0.3">
      <c r="A1581">
        <v>2981233</v>
      </c>
      <c r="B1581">
        <v>86.22</v>
      </c>
      <c r="C1581" t="s">
        <v>3498</v>
      </c>
      <c r="D1581" t="s">
        <v>3499</v>
      </c>
      <c r="E1581" t="s">
        <v>23</v>
      </c>
      <c r="F1581" t="s">
        <v>44</v>
      </c>
      <c r="G1581">
        <v>2016</v>
      </c>
      <c r="H1581" t="s">
        <v>1193</v>
      </c>
      <c r="I1581" t="s">
        <v>3500</v>
      </c>
      <c r="J1581" t="s">
        <v>3501</v>
      </c>
      <c r="K1581" t="s">
        <v>25</v>
      </c>
      <c r="L1581" t="s">
        <v>26</v>
      </c>
      <c r="M1581" t="b">
        <v>1</v>
      </c>
      <c r="N1581" t="s">
        <v>3502</v>
      </c>
      <c r="O1581" t="str">
        <f>"796.44092;B"</f>
        <v>796.44092;B</v>
      </c>
      <c r="Q1581" t="b">
        <v>0</v>
      </c>
      <c r="S1581" t="str">
        <f>"9780310759669"</f>
        <v>9780310759669</v>
      </c>
      <c r="T1581" t="str">
        <f>"9780310759522"</f>
        <v>9780310759522</v>
      </c>
      <c r="U1581" t="b">
        <v>0</v>
      </c>
      <c r="W1581" t="b">
        <v>0</v>
      </c>
    </row>
    <row r="1582" spans="1:23" x14ac:dyDescent="0.3">
      <c r="A1582">
        <v>2981232</v>
      </c>
      <c r="B1582">
        <v>44.82</v>
      </c>
      <c r="C1582" t="s">
        <v>3503</v>
      </c>
      <c r="E1582" t="s">
        <v>23</v>
      </c>
      <c r="F1582" t="s">
        <v>44</v>
      </c>
      <c r="G1582">
        <v>2009</v>
      </c>
      <c r="H1582" t="s">
        <v>728</v>
      </c>
      <c r="K1582" t="s">
        <v>25</v>
      </c>
      <c r="L1582" t="s">
        <v>30</v>
      </c>
      <c r="M1582" t="b">
        <v>1</v>
      </c>
      <c r="N1582" t="s">
        <v>3066</v>
      </c>
      <c r="P1582" t="s">
        <v>3412</v>
      </c>
      <c r="Q1582" t="b">
        <v>1</v>
      </c>
      <c r="S1582" t="str">
        <f>"9780310671510"</f>
        <v>9780310671510</v>
      </c>
      <c r="T1582" t="str">
        <f>"9780310833208"</f>
        <v>9780310833208</v>
      </c>
      <c r="U1582" t="b">
        <v>0</v>
      </c>
      <c r="W1582" t="b">
        <v>0</v>
      </c>
    </row>
    <row r="1583" spans="1:23" x14ac:dyDescent="0.3">
      <c r="A1583">
        <v>2981231</v>
      </c>
      <c r="B1583">
        <v>27.57</v>
      </c>
      <c r="C1583" t="s">
        <v>3504</v>
      </c>
      <c r="D1583" t="s">
        <v>3505</v>
      </c>
      <c r="E1583" t="s">
        <v>23</v>
      </c>
      <c r="F1583" t="s">
        <v>44</v>
      </c>
      <c r="G1583">
        <v>2014</v>
      </c>
      <c r="H1583" t="s">
        <v>58</v>
      </c>
      <c r="K1583" t="s">
        <v>25</v>
      </c>
      <c r="L1583" t="s">
        <v>30</v>
      </c>
      <c r="M1583" t="b">
        <v>1</v>
      </c>
      <c r="N1583" t="s">
        <v>3506</v>
      </c>
      <c r="P1583" t="s">
        <v>3507</v>
      </c>
      <c r="Q1583" t="b">
        <v>0</v>
      </c>
      <c r="S1583" t="str">
        <f>"9780310433224"</f>
        <v>9780310433224</v>
      </c>
      <c r="T1583" t="str">
        <f>"9780310433439"</f>
        <v>9780310433439</v>
      </c>
      <c r="U1583" t="b">
        <v>0</v>
      </c>
      <c r="W1583" t="b">
        <v>0</v>
      </c>
    </row>
    <row r="1584" spans="1:23" x14ac:dyDescent="0.3">
      <c r="A1584">
        <v>2981230</v>
      </c>
      <c r="B1584">
        <v>34.47</v>
      </c>
      <c r="C1584" t="s">
        <v>3508</v>
      </c>
      <c r="D1584" t="s">
        <v>3509</v>
      </c>
      <c r="E1584" t="s">
        <v>23</v>
      </c>
      <c r="F1584" t="s">
        <v>44</v>
      </c>
      <c r="G1584">
        <v>2010</v>
      </c>
      <c r="H1584" t="s">
        <v>1489</v>
      </c>
      <c r="K1584" t="s">
        <v>25</v>
      </c>
      <c r="L1584" t="s">
        <v>30</v>
      </c>
      <c r="M1584" t="b">
        <v>1</v>
      </c>
      <c r="N1584" t="s">
        <v>3510</v>
      </c>
      <c r="Q1584" t="b">
        <v>0</v>
      </c>
      <c r="S1584" t="str">
        <f>"9780310258162"</f>
        <v>9780310258162</v>
      </c>
      <c r="T1584" t="str">
        <f>"9780310862819"</f>
        <v>9780310862819</v>
      </c>
      <c r="U1584" t="b">
        <v>0</v>
      </c>
      <c r="W1584" t="b">
        <v>0</v>
      </c>
    </row>
    <row r="1585" spans="1:23" x14ac:dyDescent="0.3">
      <c r="A1585">
        <v>2981229</v>
      </c>
      <c r="B1585">
        <v>63.93</v>
      </c>
      <c r="C1585" t="s">
        <v>3511</v>
      </c>
      <c r="D1585" t="s">
        <v>3512</v>
      </c>
      <c r="E1585" t="s">
        <v>23</v>
      </c>
      <c r="F1585" t="s">
        <v>44</v>
      </c>
      <c r="G1585">
        <v>2011</v>
      </c>
      <c r="H1585" t="s">
        <v>62</v>
      </c>
      <c r="K1585" t="s">
        <v>25</v>
      </c>
      <c r="L1585" t="s">
        <v>30</v>
      </c>
      <c r="M1585" t="b">
        <v>1</v>
      </c>
      <c r="N1585" t="s">
        <v>3513</v>
      </c>
      <c r="Q1585" t="b">
        <v>0</v>
      </c>
      <c r="T1585" t="str">
        <f>"9780310395546"</f>
        <v>9780310395546</v>
      </c>
      <c r="U1585" t="b">
        <v>0</v>
      </c>
      <c r="W1585" t="b">
        <v>0</v>
      </c>
    </row>
    <row r="1586" spans="1:23" x14ac:dyDescent="0.3">
      <c r="A1586">
        <v>2981228</v>
      </c>
      <c r="B1586">
        <v>44.82</v>
      </c>
      <c r="C1586" t="s">
        <v>3514</v>
      </c>
      <c r="D1586" t="s">
        <v>3515</v>
      </c>
      <c r="E1586" t="s">
        <v>23</v>
      </c>
      <c r="F1586" t="s">
        <v>44</v>
      </c>
      <c r="G1586">
        <v>2009</v>
      </c>
      <c r="H1586" t="s">
        <v>728</v>
      </c>
      <c r="K1586" t="s">
        <v>25</v>
      </c>
      <c r="L1586" t="s">
        <v>30</v>
      </c>
      <c r="M1586" t="b">
        <v>1</v>
      </c>
      <c r="N1586" t="s">
        <v>3066</v>
      </c>
      <c r="P1586" t="s">
        <v>3412</v>
      </c>
      <c r="Q1586" t="b">
        <v>1</v>
      </c>
      <c r="S1586" t="str">
        <f>"9780310669913"</f>
        <v>9780310669913</v>
      </c>
      <c r="T1586" t="str">
        <f>"9780310835189"</f>
        <v>9780310835189</v>
      </c>
      <c r="U1586" t="b">
        <v>0</v>
      </c>
      <c r="W1586" t="b">
        <v>0</v>
      </c>
    </row>
    <row r="1587" spans="1:23" x14ac:dyDescent="0.3">
      <c r="A1587">
        <v>2981227</v>
      </c>
      <c r="B1587">
        <v>55.17</v>
      </c>
      <c r="C1587" t="s">
        <v>3516</v>
      </c>
      <c r="D1587" t="s">
        <v>3517</v>
      </c>
      <c r="E1587" t="s">
        <v>23</v>
      </c>
      <c r="F1587" t="s">
        <v>44</v>
      </c>
      <c r="G1587">
        <v>2014</v>
      </c>
      <c r="H1587" t="s">
        <v>58</v>
      </c>
      <c r="K1587" t="s">
        <v>25</v>
      </c>
      <c r="L1587" t="s">
        <v>30</v>
      </c>
      <c r="M1587" t="b">
        <v>1</v>
      </c>
      <c r="N1587" t="s">
        <v>3518</v>
      </c>
      <c r="Q1587" t="b">
        <v>0</v>
      </c>
      <c r="S1587" t="str">
        <f>"9780310337966"</f>
        <v>9780310337966</v>
      </c>
      <c r="T1587" t="str">
        <f>"9780310337928"</f>
        <v>9780310337928</v>
      </c>
      <c r="U1587" t="b">
        <v>0</v>
      </c>
      <c r="W1587" t="b">
        <v>0</v>
      </c>
    </row>
    <row r="1588" spans="1:23" x14ac:dyDescent="0.3">
      <c r="A1588">
        <v>2981226</v>
      </c>
      <c r="B1588">
        <v>28.39</v>
      </c>
      <c r="C1588" t="s">
        <v>3519</v>
      </c>
      <c r="D1588" t="s">
        <v>3520</v>
      </c>
      <c r="E1588" t="s">
        <v>23</v>
      </c>
      <c r="F1588" t="s">
        <v>44</v>
      </c>
      <c r="G1588">
        <v>2009</v>
      </c>
      <c r="H1588" t="s">
        <v>56</v>
      </c>
      <c r="K1588" t="s">
        <v>25</v>
      </c>
      <c r="L1588" t="s">
        <v>30</v>
      </c>
      <c r="M1588" t="b">
        <v>1</v>
      </c>
      <c r="N1588" t="s">
        <v>31</v>
      </c>
      <c r="Q1588" t="b">
        <v>0</v>
      </c>
      <c r="T1588" t="str">
        <f>"9780310865735"</f>
        <v>9780310865735</v>
      </c>
      <c r="U1588" t="b">
        <v>0</v>
      </c>
      <c r="W1588" t="b">
        <v>0</v>
      </c>
    </row>
    <row r="1589" spans="1:23" x14ac:dyDescent="0.3">
      <c r="A1589">
        <v>2981225</v>
      </c>
      <c r="B1589">
        <v>17.73</v>
      </c>
      <c r="C1589" t="s">
        <v>3521</v>
      </c>
      <c r="D1589" t="s">
        <v>3522</v>
      </c>
      <c r="E1589" t="s">
        <v>23</v>
      </c>
      <c r="F1589" t="s">
        <v>44</v>
      </c>
      <c r="G1589">
        <v>2018</v>
      </c>
      <c r="H1589" t="s">
        <v>99</v>
      </c>
      <c r="I1589" t="s">
        <v>3383</v>
      </c>
      <c r="J1589" t="s">
        <v>3523</v>
      </c>
      <c r="K1589" t="s">
        <v>25</v>
      </c>
      <c r="L1589" t="s">
        <v>26</v>
      </c>
      <c r="M1589" t="b">
        <v>1</v>
      </c>
      <c r="N1589" t="s">
        <v>3524</v>
      </c>
      <c r="O1589" t="str">
        <f>"248.8/4019"</f>
        <v>248.8/4019</v>
      </c>
      <c r="Q1589" t="b">
        <v>0</v>
      </c>
      <c r="T1589" t="str">
        <f>"9780310312949"</f>
        <v>9780310312949</v>
      </c>
      <c r="U1589" t="b">
        <v>0</v>
      </c>
      <c r="W1589" t="b">
        <v>0</v>
      </c>
    </row>
    <row r="1590" spans="1:23" x14ac:dyDescent="0.3">
      <c r="A1590">
        <v>2981224</v>
      </c>
      <c r="B1590">
        <v>79.319999999999993</v>
      </c>
      <c r="C1590" t="s">
        <v>3525</v>
      </c>
      <c r="D1590" t="s">
        <v>3526</v>
      </c>
      <c r="E1590" t="s">
        <v>23</v>
      </c>
      <c r="F1590" t="s">
        <v>44</v>
      </c>
      <c r="G1590">
        <v>2021</v>
      </c>
      <c r="H1590" t="s">
        <v>3527</v>
      </c>
      <c r="I1590" t="s">
        <v>3528</v>
      </c>
      <c r="J1590" t="s">
        <v>3529</v>
      </c>
      <c r="K1590" t="s">
        <v>25</v>
      </c>
      <c r="L1590" t="s">
        <v>26</v>
      </c>
      <c r="M1590" t="b">
        <v>1</v>
      </c>
      <c r="N1590" t="s">
        <v>3530</v>
      </c>
      <c r="O1590" t="str">
        <f>"DOWNLOADABLE eBOOK"</f>
        <v>DOWNLOADABLE eBOOK</v>
      </c>
      <c r="Q1590" t="b">
        <v>0</v>
      </c>
      <c r="S1590" t="str">
        <f>"9780310111566"</f>
        <v>9780310111566</v>
      </c>
      <c r="T1590" t="str">
        <f>"9780310111573"</f>
        <v>9780310111573</v>
      </c>
      <c r="U1590" t="b">
        <v>0</v>
      </c>
      <c r="W1590" t="b">
        <v>0</v>
      </c>
    </row>
    <row r="1591" spans="1:23" x14ac:dyDescent="0.3">
      <c r="A1591">
        <v>2981223</v>
      </c>
      <c r="B1591">
        <v>55.17</v>
      </c>
      <c r="C1591" t="s">
        <v>3531</v>
      </c>
      <c r="D1591" t="s">
        <v>3532</v>
      </c>
      <c r="E1591" t="s">
        <v>23</v>
      </c>
      <c r="F1591" t="s">
        <v>44</v>
      </c>
      <c r="G1591">
        <v>2015</v>
      </c>
      <c r="H1591" t="s">
        <v>1206</v>
      </c>
      <c r="K1591" t="s">
        <v>25</v>
      </c>
      <c r="L1591" t="s">
        <v>26</v>
      </c>
      <c r="M1591" t="b">
        <v>1</v>
      </c>
      <c r="N1591" t="s">
        <v>3533</v>
      </c>
      <c r="Q1591" t="b">
        <v>0</v>
      </c>
      <c r="S1591" t="str">
        <f>"9780310343646"</f>
        <v>9780310343646</v>
      </c>
      <c r="T1591" t="str">
        <f>"9780310343653"</f>
        <v>9780310343653</v>
      </c>
      <c r="U1591" t="b">
        <v>0</v>
      </c>
      <c r="W1591" t="b">
        <v>0</v>
      </c>
    </row>
    <row r="1592" spans="1:23" x14ac:dyDescent="0.3">
      <c r="A1592">
        <v>2981222</v>
      </c>
      <c r="B1592">
        <v>44.82</v>
      </c>
      <c r="C1592" t="s">
        <v>3534</v>
      </c>
      <c r="D1592" t="s">
        <v>3535</v>
      </c>
      <c r="E1592" t="s">
        <v>23</v>
      </c>
      <c r="F1592" t="s">
        <v>44</v>
      </c>
      <c r="G1592">
        <v>2010</v>
      </c>
      <c r="H1592" t="s">
        <v>89</v>
      </c>
      <c r="K1592" t="s">
        <v>25</v>
      </c>
      <c r="L1592" t="s">
        <v>30</v>
      </c>
      <c r="M1592" t="b">
        <v>1</v>
      </c>
      <c r="N1592" t="s">
        <v>3536</v>
      </c>
      <c r="Q1592" t="b">
        <v>0</v>
      </c>
      <c r="S1592" t="str">
        <f>"9780310238461"</f>
        <v>9780310238461</v>
      </c>
      <c r="T1592" t="str">
        <f>"9780310872665"</f>
        <v>9780310872665</v>
      </c>
      <c r="U1592" t="b">
        <v>0</v>
      </c>
      <c r="W1592" t="b">
        <v>0</v>
      </c>
    </row>
    <row r="1593" spans="1:23" x14ac:dyDescent="0.3">
      <c r="A1593">
        <v>2981220</v>
      </c>
      <c r="B1593">
        <v>63.93</v>
      </c>
      <c r="C1593" t="s">
        <v>3537</v>
      </c>
      <c r="D1593" t="s">
        <v>3538</v>
      </c>
      <c r="E1593" t="s">
        <v>23</v>
      </c>
      <c r="F1593" t="s">
        <v>44</v>
      </c>
      <c r="G1593">
        <v>2013</v>
      </c>
      <c r="H1593" t="s">
        <v>132</v>
      </c>
      <c r="K1593" t="s">
        <v>25</v>
      </c>
      <c r="L1593" t="s">
        <v>30</v>
      </c>
      <c r="M1593" t="b">
        <v>1</v>
      </c>
      <c r="N1593" t="s">
        <v>3539</v>
      </c>
      <c r="Q1593" t="b">
        <v>0</v>
      </c>
      <c r="T1593" t="str">
        <f>"9780310332695"</f>
        <v>9780310332695</v>
      </c>
      <c r="U1593" t="b">
        <v>0</v>
      </c>
      <c r="W1593" t="b">
        <v>0</v>
      </c>
    </row>
    <row r="1594" spans="1:23" x14ac:dyDescent="0.3">
      <c r="A1594">
        <v>2981219</v>
      </c>
      <c r="B1594">
        <v>79.319999999999993</v>
      </c>
      <c r="C1594" t="s">
        <v>3540</v>
      </c>
      <c r="D1594" t="s">
        <v>3541</v>
      </c>
      <c r="E1594" t="s">
        <v>23</v>
      </c>
      <c r="F1594" t="s">
        <v>44</v>
      </c>
      <c r="G1594">
        <v>2019</v>
      </c>
      <c r="H1594" t="s">
        <v>60</v>
      </c>
      <c r="K1594" t="s">
        <v>25</v>
      </c>
      <c r="L1594" t="s">
        <v>26</v>
      </c>
      <c r="M1594" t="b">
        <v>1</v>
      </c>
      <c r="N1594" t="s">
        <v>727</v>
      </c>
      <c r="Q1594" t="b">
        <v>0</v>
      </c>
      <c r="S1594" t="str">
        <f>"9780310356318"</f>
        <v>9780310356318</v>
      </c>
      <c r="T1594" t="str">
        <f>"9780310356332"</f>
        <v>9780310356332</v>
      </c>
      <c r="U1594" t="b">
        <v>0</v>
      </c>
      <c r="W1594" t="b">
        <v>0</v>
      </c>
    </row>
    <row r="1595" spans="1:23" x14ac:dyDescent="0.3">
      <c r="A1595">
        <v>2981218</v>
      </c>
      <c r="B1595">
        <v>65.52</v>
      </c>
      <c r="C1595" t="s">
        <v>3542</v>
      </c>
      <c r="D1595" t="s">
        <v>3543</v>
      </c>
      <c r="E1595" t="s">
        <v>23</v>
      </c>
      <c r="F1595" t="s">
        <v>44</v>
      </c>
      <c r="G1595">
        <v>2019</v>
      </c>
      <c r="H1595" t="s">
        <v>69</v>
      </c>
      <c r="K1595" t="s">
        <v>25</v>
      </c>
      <c r="L1595" t="s">
        <v>26</v>
      </c>
      <c r="M1595" t="b">
        <v>1</v>
      </c>
      <c r="N1595" t="s">
        <v>3544</v>
      </c>
      <c r="Q1595" t="b">
        <v>0</v>
      </c>
      <c r="S1595" t="str">
        <f>"9780310353621"</f>
        <v>9780310353621</v>
      </c>
      <c r="T1595" t="str">
        <f>"9780310353669"</f>
        <v>9780310353669</v>
      </c>
      <c r="U1595" t="b">
        <v>0</v>
      </c>
      <c r="W1595" t="b">
        <v>0</v>
      </c>
    </row>
    <row r="1596" spans="1:23" x14ac:dyDescent="0.3">
      <c r="A1596">
        <v>2981217</v>
      </c>
      <c r="B1596">
        <v>58.62</v>
      </c>
      <c r="C1596" t="s">
        <v>3545</v>
      </c>
      <c r="D1596" t="s">
        <v>3546</v>
      </c>
      <c r="E1596" t="s">
        <v>23</v>
      </c>
      <c r="F1596" t="s">
        <v>44</v>
      </c>
      <c r="G1596">
        <v>2020</v>
      </c>
      <c r="H1596" t="s">
        <v>62</v>
      </c>
      <c r="K1596" t="s">
        <v>25</v>
      </c>
      <c r="L1596" t="s">
        <v>26</v>
      </c>
      <c r="M1596" t="b">
        <v>1</v>
      </c>
      <c r="N1596" t="s">
        <v>2090</v>
      </c>
      <c r="Q1596" t="b">
        <v>0</v>
      </c>
      <c r="S1596" t="str">
        <f>"9780310095583"</f>
        <v>9780310095583</v>
      </c>
      <c r="T1596" t="str">
        <f>"9780310095590"</f>
        <v>9780310095590</v>
      </c>
      <c r="U1596" t="b">
        <v>0</v>
      </c>
      <c r="W1596" t="b">
        <v>0</v>
      </c>
    </row>
    <row r="1597" spans="1:23" x14ac:dyDescent="0.3">
      <c r="A1597">
        <v>2981216</v>
      </c>
      <c r="B1597">
        <v>44.82</v>
      </c>
      <c r="C1597" t="s">
        <v>3547</v>
      </c>
      <c r="D1597" t="s">
        <v>3548</v>
      </c>
      <c r="E1597" t="s">
        <v>23</v>
      </c>
      <c r="F1597" t="s">
        <v>44</v>
      </c>
      <c r="G1597">
        <v>2009</v>
      </c>
      <c r="H1597" t="s">
        <v>99</v>
      </c>
      <c r="K1597" t="s">
        <v>25</v>
      </c>
      <c r="L1597" t="s">
        <v>30</v>
      </c>
      <c r="M1597" t="b">
        <v>1</v>
      </c>
      <c r="N1597" t="s">
        <v>3549</v>
      </c>
      <c r="Q1597" t="b">
        <v>0</v>
      </c>
      <c r="S1597" t="str">
        <f>"9780310271079"</f>
        <v>9780310271079</v>
      </c>
      <c r="T1597" t="str">
        <f>"9780310861706"</f>
        <v>9780310861706</v>
      </c>
      <c r="U1597" t="b">
        <v>0</v>
      </c>
      <c r="W1597" t="b">
        <v>0</v>
      </c>
    </row>
    <row r="1598" spans="1:23" x14ac:dyDescent="0.3">
      <c r="A1598">
        <v>2981215</v>
      </c>
      <c r="B1598">
        <v>55.17</v>
      </c>
      <c r="C1598" t="s">
        <v>3550</v>
      </c>
      <c r="D1598" t="s">
        <v>3551</v>
      </c>
      <c r="E1598" t="s">
        <v>23</v>
      </c>
      <c r="F1598" t="s">
        <v>44</v>
      </c>
      <c r="G1598">
        <v>2010</v>
      </c>
      <c r="H1598" t="s">
        <v>56</v>
      </c>
      <c r="K1598" t="s">
        <v>25</v>
      </c>
      <c r="L1598" t="s">
        <v>30</v>
      </c>
      <c r="M1598" t="b">
        <v>1</v>
      </c>
      <c r="N1598" t="s">
        <v>3552</v>
      </c>
      <c r="Q1598" t="b">
        <v>0</v>
      </c>
      <c r="S1598" t="str">
        <f>"9780310318996"</f>
        <v>9780310318996</v>
      </c>
      <c r="T1598" t="str">
        <f>"9780310411802"</f>
        <v>9780310411802</v>
      </c>
      <c r="U1598" t="b">
        <v>0</v>
      </c>
      <c r="W1598" t="b">
        <v>0</v>
      </c>
    </row>
    <row r="1599" spans="1:23" x14ac:dyDescent="0.3">
      <c r="A1599">
        <v>2981214</v>
      </c>
      <c r="B1599">
        <v>51.72</v>
      </c>
      <c r="C1599" t="s">
        <v>3553</v>
      </c>
      <c r="D1599" t="s">
        <v>3554</v>
      </c>
      <c r="E1599" t="s">
        <v>23</v>
      </c>
      <c r="F1599" t="s">
        <v>44</v>
      </c>
      <c r="G1599">
        <v>2010</v>
      </c>
      <c r="H1599" t="s">
        <v>132</v>
      </c>
      <c r="K1599" t="s">
        <v>25</v>
      </c>
      <c r="M1599" t="b">
        <v>1</v>
      </c>
      <c r="N1599" t="s">
        <v>2309</v>
      </c>
      <c r="Q1599" t="b">
        <v>0</v>
      </c>
      <c r="S1599" t="str">
        <f>"9780310755302"</f>
        <v>9780310755302</v>
      </c>
      <c r="T1599" t="str">
        <f>"9780310873662"</f>
        <v>9780310873662</v>
      </c>
      <c r="U1599" t="b">
        <v>0</v>
      </c>
      <c r="W1599" t="b">
        <v>0</v>
      </c>
    </row>
    <row r="1600" spans="1:23" x14ac:dyDescent="0.3">
      <c r="A1600">
        <v>2981213</v>
      </c>
      <c r="B1600">
        <v>58.62</v>
      </c>
      <c r="C1600" t="s">
        <v>3555</v>
      </c>
      <c r="D1600" t="s">
        <v>3556</v>
      </c>
      <c r="E1600" t="s">
        <v>23</v>
      </c>
      <c r="F1600" t="s">
        <v>44</v>
      </c>
      <c r="G1600">
        <v>2015</v>
      </c>
      <c r="H1600" t="s">
        <v>1489</v>
      </c>
      <c r="K1600" t="s">
        <v>25</v>
      </c>
      <c r="L1600" t="s">
        <v>26</v>
      </c>
      <c r="M1600" t="b">
        <v>1</v>
      </c>
      <c r="N1600" t="s">
        <v>44</v>
      </c>
      <c r="Q1600" t="b">
        <v>0</v>
      </c>
      <c r="S1600" t="str">
        <f>"9780310752066"</f>
        <v>9780310752066</v>
      </c>
      <c r="T1600" t="str">
        <f>"9780310752318"</f>
        <v>9780310752318</v>
      </c>
      <c r="U1600" t="b">
        <v>0</v>
      </c>
      <c r="W1600" t="b">
        <v>0</v>
      </c>
    </row>
    <row r="1601" spans="1:23" x14ac:dyDescent="0.3">
      <c r="A1601">
        <v>2981212</v>
      </c>
      <c r="B1601">
        <v>51.72</v>
      </c>
      <c r="C1601" t="s">
        <v>3557</v>
      </c>
      <c r="E1601" t="s">
        <v>23</v>
      </c>
      <c r="F1601" t="s">
        <v>44</v>
      </c>
      <c r="G1601">
        <v>2013</v>
      </c>
      <c r="H1601" t="s">
        <v>74</v>
      </c>
      <c r="K1601" t="s">
        <v>25</v>
      </c>
      <c r="L1601" t="s">
        <v>30</v>
      </c>
      <c r="M1601" t="b">
        <v>1</v>
      </c>
      <c r="N1601" t="s">
        <v>1703</v>
      </c>
      <c r="P1601" t="s">
        <v>3558</v>
      </c>
      <c r="Q1601" t="b">
        <v>1</v>
      </c>
      <c r="S1601" t="str">
        <f>"9780310333586"</f>
        <v>9780310333586</v>
      </c>
      <c r="T1601" t="str">
        <f>"9780310333593"</f>
        <v>9780310333593</v>
      </c>
      <c r="U1601" t="b">
        <v>0</v>
      </c>
      <c r="W1601" t="b">
        <v>0</v>
      </c>
    </row>
    <row r="1602" spans="1:23" x14ac:dyDescent="0.3">
      <c r="A1602">
        <v>2981211</v>
      </c>
      <c r="B1602">
        <v>58.62</v>
      </c>
      <c r="C1602" t="s">
        <v>3559</v>
      </c>
      <c r="D1602" t="s">
        <v>3141</v>
      </c>
      <c r="E1602" t="s">
        <v>23</v>
      </c>
      <c r="F1602" t="s">
        <v>44</v>
      </c>
      <c r="G1602">
        <v>2015</v>
      </c>
      <c r="H1602" t="s">
        <v>58</v>
      </c>
      <c r="K1602" t="s">
        <v>25</v>
      </c>
      <c r="L1602" t="s">
        <v>26</v>
      </c>
      <c r="M1602" t="b">
        <v>1</v>
      </c>
      <c r="N1602" t="s">
        <v>915</v>
      </c>
      <c r="P1602" t="s">
        <v>978</v>
      </c>
      <c r="Q1602" t="b">
        <v>0</v>
      </c>
      <c r="S1602" t="str">
        <f>"9780310259237"</f>
        <v>9780310259237</v>
      </c>
      <c r="T1602" t="str">
        <f>"9780310334309"</f>
        <v>9780310334309</v>
      </c>
      <c r="U1602" t="b">
        <v>0</v>
      </c>
      <c r="W1602" t="b">
        <v>0</v>
      </c>
    </row>
    <row r="1603" spans="1:23" x14ac:dyDescent="0.3">
      <c r="A1603">
        <v>2981210</v>
      </c>
      <c r="B1603">
        <v>34.47</v>
      </c>
      <c r="C1603" t="s">
        <v>3560</v>
      </c>
      <c r="E1603" t="s">
        <v>23</v>
      </c>
      <c r="F1603" t="s">
        <v>44</v>
      </c>
      <c r="G1603">
        <v>2011</v>
      </c>
      <c r="H1603" t="s">
        <v>3147</v>
      </c>
      <c r="K1603" t="s">
        <v>25</v>
      </c>
      <c r="L1603" t="s">
        <v>30</v>
      </c>
      <c r="M1603" t="b">
        <v>1</v>
      </c>
      <c r="N1603" t="s">
        <v>3561</v>
      </c>
      <c r="P1603" t="s">
        <v>3562</v>
      </c>
      <c r="Q1603" t="b">
        <v>0</v>
      </c>
      <c r="S1603" t="str">
        <f>"9780310722885"</f>
        <v>9780310722885</v>
      </c>
      <c r="T1603" t="str">
        <f>"9780310421870"</f>
        <v>9780310421870</v>
      </c>
      <c r="U1603" t="b">
        <v>0</v>
      </c>
      <c r="W1603" t="b">
        <v>0</v>
      </c>
    </row>
    <row r="1604" spans="1:23" x14ac:dyDescent="0.3">
      <c r="A1604">
        <v>2981209</v>
      </c>
      <c r="B1604">
        <v>58.62</v>
      </c>
      <c r="C1604" t="s">
        <v>3563</v>
      </c>
      <c r="D1604" t="s">
        <v>3564</v>
      </c>
      <c r="E1604" t="s">
        <v>23</v>
      </c>
      <c r="F1604" t="s">
        <v>44</v>
      </c>
      <c r="G1604">
        <v>2019</v>
      </c>
      <c r="H1604" t="s">
        <v>2079</v>
      </c>
      <c r="K1604" t="s">
        <v>25</v>
      </c>
      <c r="L1604" t="s">
        <v>26</v>
      </c>
      <c r="M1604" t="b">
        <v>1</v>
      </c>
      <c r="N1604" t="s">
        <v>3057</v>
      </c>
      <c r="Q1604" t="b">
        <v>1</v>
      </c>
      <c r="S1604" t="str">
        <f>"9780310766834"</f>
        <v>9780310766834</v>
      </c>
      <c r="T1604" t="str">
        <f>"9780310766933"</f>
        <v>9780310766933</v>
      </c>
      <c r="U1604" t="b">
        <v>0</v>
      </c>
      <c r="W1604" t="b">
        <v>0</v>
      </c>
    </row>
    <row r="1605" spans="1:23" x14ac:dyDescent="0.3">
      <c r="A1605">
        <v>2981208</v>
      </c>
      <c r="B1605">
        <v>46.16</v>
      </c>
      <c r="C1605" t="s">
        <v>3565</v>
      </c>
      <c r="D1605" t="s">
        <v>3566</v>
      </c>
      <c r="E1605" t="s">
        <v>23</v>
      </c>
      <c r="F1605" t="s">
        <v>44</v>
      </c>
      <c r="G1605">
        <v>2017</v>
      </c>
      <c r="H1605" t="s">
        <v>69</v>
      </c>
      <c r="K1605" t="s">
        <v>25</v>
      </c>
      <c r="L1605" t="s">
        <v>26</v>
      </c>
      <c r="M1605" t="b">
        <v>1</v>
      </c>
      <c r="N1605" t="s">
        <v>3567</v>
      </c>
      <c r="Q1605" t="b">
        <v>0</v>
      </c>
      <c r="T1605" t="str">
        <f>"9780310350408"</f>
        <v>9780310350408</v>
      </c>
      <c r="U1605" t="b">
        <v>0</v>
      </c>
      <c r="W1605" t="b">
        <v>0</v>
      </c>
    </row>
    <row r="1606" spans="1:23" x14ac:dyDescent="0.3">
      <c r="A1606">
        <v>2981207</v>
      </c>
      <c r="B1606">
        <v>35.5</v>
      </c>
      <c r="C1606" t="s">
        <v>1320</v>
      </c>
      <c r="D1606" t="s">
        <v>3568</v>
      </c>
      <c r="E1606" t="s">
        <v>23</v>
      </c>
      <c r="F1606" t="s">
        <v>44</v>
      </c>
      <c r="G1606">
        <v>2013</v>
      </c>
      <c r="H1606" t="s">
        <v>912</v>
      </c>
      <c r="K1606" t="s">
        <v>25</v>
      </c>
      <c r="L1606" t="s">
        <v>30</v>
      </c>
      <c r="M1606" t="b">
        <v>1</v>
      </c>
      <c r="N1606" t="s">
        <v>3569</v>
      </c>
      <c r="Q1606" t="b">
        <v>0</v>
      </c>
      <c r="T1606" t="str">
        <f>"9780310337539"</f>
        <v>9780310337539</v>
      </c>
      <c r="U1606" t="b">
        <v>0</v>
      </c>
      <c r="W1606" t="b">
        <v>0</v>
      </c>
    </row>
    <row r="1607" spans="1:23" x14ac:dyDescent="0.3">
      <c r="A1607">
        <v>2981206</v>
      </c>
      <c r="B1607">
        <v>51.72</v>
      </c>
      <c r="C1607" t="s">
        <v>3570</v>
      </c>
      <c r="D1607" t="s">
        <v>3571</v>
      </c>
      <c r="E1607" t="s">
        <v>23</v>
      </c>
      <c r="F1607" t="s">
        <v>44</v>
      </c>
      <c r="G1607">
        <v>2009</v>
      </c>
      <c r="H1607" t="s">
        <v>69</v>
      </c>
      <c r="K1607" t="s">
        <v>25</v>
      </c>
      <c r="L1607" t="s">
        <v>26</v>
      </c>
      <c r="M1607" t="b">
        <v>1</v>
      </c>
      <c r="N1607" t="s">
        <v>2846</v>
      </c>
      <c r="Q1607" t="b">
        <v>0</v>
      </c>
      <c r="S1607" t="str">
        <f>"9780310272472"</f>
        <v>9780310272472</v>
      </c>
      <c r="T1607" t="str">
        <f>"9780310562801"</f>
        <v>9780310562801</v>
      </c>
      <c r="U1607" t="b">
        <v>0</v>
      </c>
      <c r="W1607" t="b">
        <v>0</v>
      </c>
    </row>
    <row r="1608" spans="1:23" x14ac:dyDescent="0.3">
      <c r="A1608">
        <v>2981205</v>
      </c>
      <c r="B1608">
        <v>65.52</v>
      </c>
      <c r="C1608" t="s">
        <v>3572</v>
      </c>
      <c r="D1608" t="s">
        <v>3573</v>
      </c>
      <c r="E1608" t="s">
        <v>23</v>
      </c>
      <c r="F1608" t="s">
        <v>44</v>
      </c>
      <c r="G1608">
        <v>2020</v>
      </c>
      <c r="H1608" t="s">
        <v>69</v>
      </c>
      <c r="K1608" t="s">
        <v>25</v>
      </c>
      <c r="L1608" t="s">
        <v>26</v>
      </c>
      <c r="M1608" t="b">
        <v>1</v>
      </c>
      <c r="N1608" t="s">
        <v>997</v>
      </c>
      <c r="Q1608" t="b">
        <v>0</v>
      </c>
      <c r="S1608" t="str">
        <f>"9780310358343"</f>
        <v>9780310358343</v>
      </c>
      <c r="T1608" t="str">
        <f>"9780310358350"</f>
        <v>9780310358350</v>
      </c>
      <c r="U1608" t="b">
        <v>0</v>
      </c>
      <c r="W1608" t="b">
        <v>0</v>
      </c>
    </row>
    <row r="1609" spans="1:23" x14ac:dyDescent="0.3">
      <c r="A1609">
        <v>2981204</v>
      </c>
      <c r="B1609">
        <v>46.16</v>
      </c>
      <c r="C1609" t="s">
        <v>3574</v>
      </c>
      <c r="E1609" t="s">
        <v>23</v>
      </c>
      <c r="F1609" t="s">
        <v>44</v>
      </c>
      <c r="G1609">
        <v>2010</v>
      </c>
      <c r="H1609" t="s">
        <v>62</v>
      </c>
      <c r="K1609" t="s">
        <v>25</v>
      </c>
      <c r="L1609" t="s">
        <v>30</v>
      </c>
      <c r="M1609" t="b">
        <v>1</v>
      </c>
      <c r="N1609" t="s">
        <v>2309</v>
      </c>
      <c r="Q1609" t="b">
        <v>0</v>
      </c>
      <c r="T1609" t="str">
        <f>"9780310562924"</f>
        <v>9780310562924</v>
      </c>
      <c r="U1609" t="b">
        <v>0</v>
      </c>
      <c r="W1609" t="b">
        <v>0</v>
      </c>
    </row>
    <row r="1610" spans="1:23" x14ac:dyDescent="0.3">
      <c r="A1610">
        <v>2981203</v>
      </c>
      <c r="B1610">
        <v>39.049999999999997</v>
      </c>
      <c r="C1610" t="s">
        <v>3575</v>
      </c>
      <c r="E1610" t="s">
        <v>23</v>
      </c>
      <c r="F1610" t="s">
        <v>44</v>
      </c>
      <c r="G1610">
        <v>2009</v>
      </c>
      <c r="H1610" t="s">
        <v>531</v>
      </c>
      <c r="K1610" t="s">
        <v>25</v>
      </c>
      <c r="L1610" t="s">
        <v>30</v>
      </c>
      <c r="M1610" t="b">
        <v>1</v>
      </c>
      <c r="N1610" t="s">
        <v>3576</v>
      </c>
      <c r="Q1610" t="b">
        <v>0</v>
      </c>
      <c r="T1610" t="str">
        <f>"9780310861607"</f>
        <v>9780310861607</v>
      </c>
      <c r="U1610" t="b">
        <v>0</v>
      </c>
      <c r="W1610" t="b">
        <v>0</v>
      </c>
    </row>
    <row r="1611" spans="1:23" x14ac:dyDescent="0.3">
      <c r="A1611">
        <v>2981202</v>
      </c>
      <c r="B1611">
        <v>55.17</v>
      </c>
      <c r="C1611" t="s">
        <v>3577</v>
      </c>
      <c r="E1611" t="s">
        <v>23</v>
      </c>
      <c r="F1611" t="s">
        <v>44</v>
      </c>
      <c r="G1611">
        <v>2015</v>
      </c>
      <c r="H1611" t="s">
        <v>132</v>
      </c>
      <c r="K1611" t="s">
        <v>25</v>
      </c>
      <c r="L1611" t="s">
        <v>26</v>
      </c>
      <c r="M1611" t="b">
        <v>1</v>
      </c>
      <c r="N1611" t="s">
        <v>3578</v>
      </c>
      <c r="P1611" t="s">
        <v>1216</v>
      </c>
      <c r="Q1611" t="b">
        <v>0</v>
      </c>
      <c r="S1611" t="str">
        <f>"9780310003588"</f>
        <v>9780310003588</v>
      </c>
      <c r="T1611" t="str">
        <f>"9780310353188"</f>
        <v>9780310353188</v>
      </c>
      <c r="U1611" t="b">
        <v>0</v>
      </c>
      <c r="W1611" t="b">
        <v>0</v>
      </c>
    </row>
    <row r="1612" spans="1:23" x14ac:dyDescent="0.3">
      <c r="A1612">
        <v>2981201</v>
      </c>
      <c r="B1612">
        <v>55.17</v>
      </c>
      <c r="C1612" t="s">
        <v>3579</v>
      </c>
      <c r="E1612" t="s">
        <v>23</v>
      </c>
      <c r="F1612" t="s">
        <v>44</v>
      </c>
      <c r="G1612">
        <v>2015</v>
      </c>
      <c r="H1612" t="s">
        <v>728</v>
      </c>
      <c r="K1612" t="s">
        <v>25</v>
      </c>
      <c r="L1612" t="s">
        <v>30</v>
      </c>
      <c r="M1612" t="b">
        <v>1</v>
      </c>
      <c r="N1612" t="s">
        <v>3580</v>
      </c>
      <c r="P1612" t="s">
        <v>3581</v>
      </c>
      <c r="Q1612" t="b">
        <v>1</v>
      </c>
      <c r="S1612" t="str">
        <f>"9780310339632"</f>
        <v>9780310339632</v>
      </c>
      <c r="T1612" t="str">
        <f>"9780310339892"</f>
        <v>9780310339892</v>
      </c>
      <c r="U1612" t="b">
        <v>0</v>
      </c>
      <c r="W1612" t="b">
        <v>0</v>
      </c>
    </row>
    <row r="1613" spans="1:23" x14ac:dyDescent="0.3">
      <c r="A1613">
        <v>2981200</v>
      </c>
      <c r="B1613">
        <v>49.71</v>
      </c>
      <c r="C1613" t="s">
        <v>3582</v>
      </c>
      <c r="E1613" t="s">
        <v>23</v>
      </c>
      <c r="F1613" t="s">
        <v>44</v>
      </c>
      <c r="G1613">
        <v>2009</v>
      </c>
      <c r="H1613" t="s">
        <v>141</v>
      </c>
      <c r="K1613" t="s">
        <v>25</v>
      </c>
      <c r="L1613" t="s">
        <v>30</v>
      </c>
      <c r="M1613" t="b">
        <v>1</v>
      </c>
      <c r="N1613" t="s">
        <v>3348</v>
      </c>
      <c r="Q1613" t="b">
        <v>0</v>
      </c>
      <c r="T1613" t="str">
        <f>"9780310862383"</f>
        <v>9780310862383</v>
      </c>
      <c r="U1613" t="b">
        <v>0</v>
      </c>
      <c r="W1613" t="b">
        <v>0</v>
      </c>
    </row>
    <row r="1614" spans="1:23" x14ac:dyDescent="0.3">
      <c r="A1614">
        <v>2981199</v>
      </c>
      <c r="B1614">
        <v>62.07</v>
      </c>
      <c r="C1614" t="s">
        <v>3583</v>
      </c>
      <c r="D1614" t="s">
        <v>3584</v>
      </c>
      <c r="E1614" t="s">
        <v>23</v>
      </c>
      <c r="F1614" t="s">
        <v>44</v>
      </c>
      <c r="G1614">
        <v>2018</v>
      </c>
      <c r="H1614" t="s">
        <v>89</v>
      </c>
      <c r="K1614" t="s">
        <v>25</v>
      </c>
      <c r="L1614" t="s">
        <v>26</v>
      </c>
      <c r="M1614" t="b">
        <v>1</v>
      </c>
      <c r="N1614" t="s">
        <v>3585</v>
      </c>
      <c r="Q1614" t="b">
        <v>0</v>
      </c>
      <c r="S1614" t="str">
        <f>"9780310342250"</f>
        <v>9780310342250</v>
      </c>
      <c r="T1614" t="str">
        <f>"9780310342267"</f>
        <v>9780310342267</v>
      </c>
      <c r="U1614" t="b">
        <v>0</v>
      </c>
      <c r="W1614" t="b">
        <v>0</v>
      </c>
    </row>
    <row r="1615" spans="1:23" x14ac:dyDescent="0.3">
      <c r="A1615">
        <v>2981198</v>
      </c>
      <c r="B1615">
        <v>28.39</v>
      </c>
      <c r="C1615" t="s">
        <v>3586</v>
      </c>
      <c r="E1615" t="s">
        <v>23</v>
      </c>
      <c r="F1615" t="s">
        <v>44</v>
      </c>
      <c r="G1615">
        <v>2009</v>
      </c>
      <c r="H1615" t="s">
        <v>41</v>
      </c>
      <c r="K1615" t="s">
        <v>25</v>
      </c>
      <c r="L1615" t="s">
        <v>30</v>
      </c>
      <c r="M1615" t="b">
        <v>1</v>
      </c>
      <c r="N1615" t="s">
        <v>3587</v>
      </c>
      <c r="Q1615" t="b">
        <v>1</v>
      </c>
      <c r="T1615" t="str">
        <f>"9780310862222"</f>
        <v>9780310862222</v>
      </c>
      <c r="U1615" t="b">
        <v>0</v>
      </c>
      <c r="W1615" t="b">
        <v>0</v>
      </c>
    </row>
    <row r="1616" spans="1:23" x14ac:dyDescent="0.3">
      <c r="A1616">
        <v>2981197</v>
      </c>
      <c r="B1616">
        <v>14.18</v>
      </c>
      <c r="C1616" t="s">
        <v>3588</v>
      </c>
      <c r="D1616" t="s">
        <v>3027</v>
      </c>
      <c r="E1616" t="s">
        <v>23</v>
      </c>
      <c r="F1616" t="s">
        <v>44</v>
      </c>
      <c r="G1616">
        <v>2019</v>
      </c>
      <c r="H1616" t="s">
        <v>772</v>
      </c>
      <c r="K1616" t="s">
        <v>25</v>
      </c>
      <c r="L1616" t="s">
        <v>30</v>
      </c>
      <c r="M1616" t="b">
        <v>1</v>
      </c>
      <c r="N1616" t="s">
        <v>742</v>
      </c>
      <c r="Q1616" t="b">
        <v>1</v>
      </c>
      <c r="T1616" t="str">
        <f>"9780310352846"</f>
        <v>9780310352846</v>
      </c>
      <c r="U1616" t="b">
        <v>0</v>
      </c>
      <c r="W1616" t="b">
        <v>0</v>
      </c>
    </row>
    <row r="1617" spans="1:23" x14ac:dyDescent="0.3">
      <c r="A1617">
        <v>2981196</v>
      </c>
      <c r="B1617">
        <v>58.62</v>
      </c>
      <c r="C1617" t="s">
        <v>3589</v>
      </c>
      <c r="D1617" t="s">
        <v>3590</v>
      </c>
      <c r="E1617" t="s">
        <v>23</v>
      </c>
      <c r="F1617" t="s">
        <v>44</v>
      </c>
      <c r="G1617">
        <v>2015</v>
      </c>
      <c r="H1617" t="s">
        <v>58</v>
      </c>
      <c r="K1617" t="s">
        <v>25</v>
      </c>
      <c r="L1617" t="s">
        <v>30</v>
      </c>
      <c r="M1617" t="b">
        <v>1</v>
      </c>
      <c r="N1617" t="s">
        <v>851</v>
      </c>
      <c r="Q1617" t="b">
        <v>0</v>
      </c>
      <c r="S1617" t="str">
        <f>"9780310531470"</f>
        <v>9780310531470</v>
      </c>
      <c r="T1617" t="str">
        <f>"9780310412144"</f>
        <v>9780310412144</v>
      </c>
      <c r="U1617" t="b">
        <v>0</v>
      </c>
      <c r="W1617" t="b">
        <v>0</v>
      </c>
    </row>
    <row r="1618" spans="1:23" x14ac:dyDescent="0.3">
      <c r="A1618">
        <v>2981195</v>
      </c>
      <c r="B1618">
        <v>55.17</v>
      </c>
      <c r="C1618" t="s">
        <v>3591</v>
      </c>
      <c r="D1618" t="s">
        <v>3592</v>
      </c>
      <c r="E1618" t="s">
        <v>23</v>
      </c>
      <c r="F1618" t="s">
        <v>44</v>
      </c>
      <c r="G1618">
        <v>2018</v>
      </c>
      <c r="H1618" t="s">
        <v>62</v>
      </c>
      <c r="K1618" t="s">
        <v>25</v>
      </c>
      <c r="L1618" t="s">
        <v>26</v>
      </c>
      <c r="M1618" t="b">
        <v>1</v>
      </c>
      <c r="N1618" t="s">
        <v>3593</v>
      </c>
      <c r="Q1618" t="b">
        <v>0</v>
      </c>
      <c r="S1618" t="str">
        <f>"9780310083566"</f>
        <v>9780310083566</v>
      </c>
      <c r="T1618" t="str">
        <f>"9780310083573"</f>
        <v>9780310083573</v>
      </c>
      <c r="U1618" t="b">
        <v>0</v>
      </c>
      <c r="W1618" t="b">
        <v>0</v>
      </c>
    </row>
    <row r="1619" spans="1:23" x14ac:dyDescent="0.3">
      <c r="A1619">
        <v>2981194</v>
      </c>
      <c r="B1619">
        <v>68.97</v>
      </c>
      <c r="C1619" t="s">
        <v>3594</v>
      </c>
      <c r="D1619" t="s">
        <v>3595</v>
      </c>
      <c r="E1619" t="s">
        <v>23</v>
      </c>
      <c r="F1619" t="s">
        <v>44</v>
      </c>
      <c r="G1619">
        <v>2017</v>
      </c>
      <c r="H1619" t="s">
        <v>89</v>
      </c>
      <c r="K1619" t="s">
        <v>25</v>
      </c>
      <c r="L1619" t="s">
        <v>26</v>
      </c>
      <c r="M1619" t="b">
        <v>1</v>
      </c>
      <c r="N1619" t="s">
        <v>3596</v>
      </c>
      <c r="Q1619" t="b">
        <v>0</v>
      </c>
      <c r="S1619" t="str">
        <f>"9780310084600"</f>
        <v>9780310084600</v>
      </c>
      <c r="T1619" t="str">
        <f>"9780310084617"</f>
        <v>9780310084617</v>
      </c>
      <c r="U1619" t="b">
        <v>0</v>
      </c>
      <c r="W1619" t="b">
        <v>0</v>
      </c>
    </row>
    <row r="1620" spans="1:23" x14ac:dyDescent="0.3">
      <c r="A1620">
        <v>2981193</v>
      </c>
      <c r="B1620">
        <v>28.39</v>
      </c>
      <c r="C1620" t="s">
        <v>3597</v>
      </c>
      <c r="E1620" t="s">
        <v>23</v>
      </c>
      <c r="F1620" t="s">
        <v>44</v>
      </c>
      <c r="G1620">
        <v>2011</v>
      </c>
      <c r="H1620" t="s">
        <v>3598</v>
      </c>
      <c r="K1620" t="s">
        <v>25</v>
      </c>
      <c r="L1620" t="s">
        <v>30</v>
      </c>
      <c r="M1620" t="b">
        <v>1</v>
      </c>
      <c r="N1620" t="s">
        <v>408</v>
      </c>
      <c r="P1620" t="s">
        <v>3599</v>
      </c>
      <c r="Q1620" t="b">
        <v>0</v>
      </c>
      <c r="T1620" t="str">
        <f>"9780310728320"</f>
        <v>9780310728320</v>
      </c>
      <c r="U1620" t="b">
        <v>0</v>
      </c>
      <c r="W1620" t="b">
        <v>0</v>
      </c>
    </row>
    <row r="1621" spans="1:23" x14ac:dyDescent="0.3">
      <c r="A1621">
        <v>2981192</v>
      </c>
      <c r="B1621">
        <v>65.52</v>
      </c>
      <c r="C1621" t="s">
        <v>3600</v>
      </c>
      <c r="D1621" t="s">
        <v>3601</v>
      </c>
      <c r="E1621" t="s">
        <v>23</v>
      </c>
      <c r="F1621" t="s">
        <v>44</v>
      </c>
      <c r="G1621">
        <v>2019</v>
      </c>
      <c r="H1621" t="s">
        <v>1122</v>
      </c>
      <c r="K1621" t="s">
        <v>25</v>
      </c>
      <c r="L1621" t="s">
        <v>26</v>
      </c>
      <c r="M1621" t="b">
        <v>1</v>
      </c>
      <c r="N1621" t="s">
        <v>3602</v>
      </c>
      <c r="Q1621" t="b">
        <v>0</v>
      </c>
      <c r="S1621" t="str">
        <f>"9780310345268"</f>
        <v>9780310345268</v>
      </c>
      <c r="T1621" t="str">
        <f>"9780310345275"</f>
        <v>9780310345275</v>
      </c>
      <c r="U1621" t="b">
        <v>0</v>
      </c>
      <c r="W1621" t="b">
        <v>0</v>
      </c>
    </row>
    <row r="1622" spans="1:23" x14ac:dyDescent="0.3">
      <c r="A1622">
        <v>2981191</v>
      </c>
      <c r="B1622">
        <v>44.82</v>
      </c>
      <c r="C1622" t="s">
        <v>3603</v>
      </c>
      <c r="D1622" t="s">
        <v>3604</v>
      </c>
      <c r="E1622" t="s">
        <v>23</v>
      </c>
      <c r="F1622" t="s">
        <v>44</v>
      </c>
      <c r="G1622">
        <v>2010</v>
      </c>
      <c r="H1622" t="s">
        <v>2702</v>
      </c>
      <c r="K1622" t="s">
        <v>25</v>
      </c>
      <c r="M1622" t="b">
        <v>1</v>
      </c>
      <c r="N1622" t="s">
        <v>3605</v>
      </c>
      <c r="Q1622" t="b">
        <v>0</v>
      </c>
      <c r="S1622" t="str">
        <f>"9780310234081"</f>
        <v>9780310234081</v>
      </c>
      <c r="T1622" t="str">
        <f>"9780310874089"</f>
        <v>9780310874089</v>
      </c>
      <c r="U1622" t="b">
        <v>0</v>
      </c>
      <c r="W1622" t="b">
        <v>0</v>
      </c>
    </row>
    <row r="1623" spans="1:23" x14ac:dyDescent="0.3">
      <c r="A1623">
        <v>2981190</v>
      </c>
      <c r="B1623">
        <v>58.62</v>
      </c>
      <c r="C1623" t="s">
        <v>3606</v>
      </c>
      <c r="D1623" t="s">
        <v>3607</v>
      </c>
      <c r="E1623" t="s">
        <v>23</v>
      </c>
      <c r="F1623" t="s">
        <v>44</v>
      </c>
      <c r="G1623">
        <v>2019</v>
      </c>
      <c r="H1623" t="s">
        <v>58</v>
      </c>
      <c r="K1623" t="s">
        <v>25</v>
      </c>
      <c r="L1623" t="s">
        <v>26</v>
      </c>
      <c r="M1623" t="b">
        <v>1</v>
      </c>
      <c r="N1623" t="s">
        <v>3608</v>
      </c>
      <c r="Q1623" t="b">
        <v>0</v>
      </c>
      <c r="S1623" t="str">
        <f>"9780310351115"</f>
        <v>9780310351115</v>
      </c>
      <c r="T1623" t="str">
        <f>"9780310351122"</f>
        <v>9780310351122</v>
      </c>
      <c r="U1623" t="b">
        <v>0</v>
      </c>
      <c r="W1623" t="b">
        <v>0</v>
      </c>
    </row>
    <row r="1624" spans="1:23" x14ac:dyDescent="0.3">
      <c r="A1624">
        <v>2981189</v>
      </c>
      <c r="B1624">
        <v>31.95</v>
      </c>
      <c r="C1624" t="s">
        <v>3609</v>
      </c>
      <c r="E1624" t="s">
        <v>23</v>
      </c>
      <c r="F1624" t="s">
        <v>44</v>
      </c>
      <c r="G1624">
        <v>2009</v>
      </c>
      <c r="H1624" t="s">
        <v>74</v>
      </c>
      <c r="K1624" t="s">
        <v>25</v>
      </c>
      <c r="L1624" t="s">
        <v>30</v>
      </c>
      <c r="M1624" t="b">
        <v>1</v>
      </c>
      <c r="N1624" t="s">
        <v>3610</v>
      </c>
      <c r="P1624" t="s">
        <v>3611</v>
      </c>
      <c r="Q1624" t="b">
        <v>1</v>
      </c>
      <c r="T1624" t="str">
        <f>"9780310864325"</f>
        <v>9780310864325</v>
      </c>
      <c r="U1624" t="b">
        <v>0</v>
      </c>
      <c r="W1624" t="b">
        <v>0</v>
      </c>
    </row>
    <row r="1625" spans="1:23" x14ac:dyDescent="0.3">
      <c r="A1625">
        <v>2981188</v>
      </c>
      <c r="B1625">
        <v>44.82</v>
      </c>
      <c r="C1625" t="s">
        <v>3612</v>
      </c>
      <c r="D1625" t="s">
        <v>3613</v>
      </c>
      <c r="E1625" t="s">
        <v>23</v>
      </c>
      <c r="F1625" t="s">
        <v>44</v>
      </c>
      <c r="G1625">
        <v>2011</v>
      </c>
      <c r="H1625" t="s">
        <v>728</v>
      </c>
      <c r="K1625" t="s">
        <v>25</v>
      </c>
      <c r="L1625" t="s">
        <v>30</v>
      </c>
      <c r="M1625" t="b">
        <v>1</v>
      </c>
      <c r="N1625" t="s">
        <v>3066</v>
      </c>
      <c r="P1625" t="s">
        <v>3412</v>
      </c>
      <c r="Q1625" t="b">
        <v>1</v>
      </c>
      <c r="S1625" t="str">
        <f>"9780310669715"</f>
        <v>9780310669715</v>
      </c>
      <c r="T1625" t="str">
        <f>"9780310865490"</f>
        <v>9780310865490</v>
      </c>
      <c r="U1625" t="b">
        <v>0</v>
      </c>
      <c r="W1625" t="b">
        <v>0</v>
      </c>
    </row>
    <row r="1626" spans="1:23" x14ac:dyDescent="0.3">
      <c r="A1626">
        <v>2981187</v>
      </c>
      <c r="B1626">
        <v>44.82</v>
      </c>
      <c r="C1626" t="s">
        <v>3614</v>
      </c>
      <c r="E1626" t="s">
        <v>23</v>
      </c>
      <c r="F1626" t="s">
        <v>44</v>
      </c>
      <c r="G1626">
        <v>2010</v>
      </c>
      <c r="H1626" t="s">
        <v>66</v>
      </c>
      <c r="K1626" t="s">
        <v>25</v>
      </c>
      <c r="M1626" t="b">
        <v>1</v>
      </c>
      <c r="N1626" t="s">
        <v>3615</v>
      </c>
      <c r="P1626" t="s">
        <v>3616</v>
      </c>
      <c r="Q1626" t="b">
        <v>1</v>
      </c>
      <c r="S1626" t="str">
        <f>"9780310212942"</f>
        <v>9780310212942</v>
      </c>
      <c r="T1626" t="str">
        <f>"9780310877110"</f>
        <v>9780310877110</v>
      </c>
      <c r="U1626" t="b">
        <v>0</v>
      </c>
      <c r="W1626" t="b">
        <v>0</v>
      </c>
    </row>
    <row r="1627" spans="1:23" x14ac:dyDescent="0.3">
      <c r="A1627">
        <v>2981186</v>
      </c>
      <c r="B1627">
        <v>89.67</v>
      </c>
      <c r="C1627" t="s">
        <v>3617</v>
      </c>
      <c r="D1627" t="s">
        <v>3618</v>
      </c>
      <c r="E1627" t="s">
        <v>23</v>
      </c>
      <c r="F1627" t="s">
        <v>44</v>
      </c>
      <c r="G1627">
        <v>2020</v>
      </c>
      <c r="H1627" t="s">
        <v>60</v>
      </c>
      <c r="K1627" t="s">
        <v>25</v>
      </c>
      <c r="L1627" t="s">
        <v>26</v>
      </c>
      <c r="M1627" t="b">
        <v>1</v>
      </c>
      <c r="N1627" t="s">
        <v>3619</v>
      </c>
      <c r="Q1627" t="b">
        <v>0</v>
      </c>
      <c r="S1627" t="str">
        <f>"9780310359746"</f>
        <v>9780310359746</v>
      </c>
      <c r="T1627" t="str">
        <f>"9780310359753"</f>
        <v>9780310359753</v>
      </c>
      <c r="U1627" t="b">
        <v>0</v>
      </c>
      <c r="W1627" t="b">
        <v>0</v>
      </c>
    </row>
    <row r="1628" spans="1:23" x14ac:dyDescent="0.3">
      <c r="A1628">
        <v>2981185</v>
      </c>
      <c r="B1628">
        <v>35.5</v>
      </c>
      <c r="C1628" t="s">
        <v>3620</v>
      </c>
      <c r="E1628" t="s">
        <v>23</v>
      </c>
      <c r="F1628" t="s">
        <v>44</v>
      </c>
      <c r="G1628">
        <v>2010</v>
      </c>
      <c r="H1628" t="s">
        <v>1223</v>
      </c>
      <c r="K1628" t="s">
        <v>25</v>
      </c>
      <c r="L1628" t="s">
        <v>30</v>
      </c>
      <c r="M1628" t="b">
        <v>1</v>
      </c>
      <c r="N1628" t="s">
        <v>3621</v>
      </c>
      <c r="P1628" t="s">
        <v>3622</v>
      </c>
      <c r="Q1628" t="b">
        <v>0</v>
      </c>
      <c r="T1628" t="str">
        <f>"9780310429265"</f>
        <v>9780310429265</v>
      </c>
      <c r="U1628" t="b">
        <v>0</v>
      </c>
      <c r="W1628" t="b">
        <v>0</v>
      </c>
    </row>
    <row r="1629" spans="1:23" x14ac:dyDescent="0.3">
      <c r="A1629">
        <v>2981184</v>
      </c>
      <c r="B1629">
        <v>51.72</v>
      </c>
      <c r="C1629" t="s">
        <v>3623</v>
      </c>
      <c r="D1629" t="s">
        <v>3624</v>
      </c>
      <c r="E1629" t="s">
        <v>23</v>
      </c>
      <c r="F1629" t="s">
        <v>44</v>
      </c>
      <c r="G1629">
        <v>2009</v>
      </c>
      <c r="H1629" t="s">
        <v>58</v>
      </c>
      <c r="I1629" t="s">
        <v>3625</v>
      </c>
      <c r="J1629" t="s">
        <v>3626</v>
      </c>
      <c r="K1629" t="s">
        <v>25</v>
      </c>
      <c r="L1629" t="s">
        <v>30</v>
      </c>
      <c r="M1629" t="b">
        <v>1</v>
      </c>
      <c r="N1629" t="s">
        <v>3627</v>
      </c>
      <c r="O1629" t="str">
        <f>"261.8/5"</f>
        <v>261.8/5</v>
      </c>
      <c r="Q1629" t="b">
        <v>0</v>
      </c>
      <c r="S1629" t="str">
        <f>"9780310293378"</f>
        <v>9780310293378</v>
      </c>
      <c r="T1629" t="str">
        <f>"9780310562085"</f>
        <v>9780310562085</v>
      </c>
      <c r="U1629" t="b">
        <v>0</v>
      </c>
      <c r="W1629" t="b">
        <v>0</v>
      </c>
    </row>
    <row r="1630" spans="1:23" x14ac:dyDescent="0.3">
      <c r="A1630">
        <v>2981183</v>
      </c>
      <c r="B1630">
        <v>93.12</v>
      </c>
      <c r="C1630" t="s">
        <v>3628</v>
      </c>
      <c r="D1630" t="s">
        <v>3629</v>
      </c>
      <c r="E1630" t="s">
        <v>23</v>
      </c>
      <c r="F1630" t="s">
        <v>44</v>
      </c>
      <c r="G1630">
        <v>2019</v>
      </c>
      <c r="H1630" t="s">
        <v>62</v>
      </c>
      <c r="K1630" t="s">
        <v>25</v>
      </c>
      <c r="L1630" t="s">
        <v>26</v>
      </c>
      <c r="M1630" t="b">
        <v>1</v>
      </c>
      <c r="N1630" t="s">
        <v>3630</v>
      </c>
      <c r="Q1630" t="b">
        <v>0</v>
      </c>
      <c r="S1630" t="str">
        <f>"9780310356929"</f>
        <v>9780310356929</v>
      </c>
      <c r="T1630" t="str">
        <f>"9780310356936"</f>
        <v>9780310356936</v>
      </c>
      <c r="U1630" t="b">
        <v>0</v>
      </c>
      <c r="W1630" t="b">
        <v>0</v>
      </c>
    </row>
    <row r="1631" spans="1:23" x14ac:dyDescent="0.3">
      <c r="A1631">
        <v>2981182</v>
      </c>
      <c r="B1631">
        <v>62.07</v>
      </c>
      <c r="C1631" t="s">
        <v>3631</v>
      </c>
      <c r="D1631" t="s">
        <v>3632</v>
      </c>
      <c r="E1631" t="s">
        <v>23</v>
      </c>
      <c r="F1631" t="s">
        <v>44</v>
      </c>
      <c r="G1631">
        <v>2020</v>
      </c>
      <c r="H1631" t="s">
        <v>62</v>
      </c>
      <c r="I1631" t="s">
        <v>3633</v>
      </c>
      <c r="J1631" t="s">
        <v>3634</v>
      </c>
      <c r="K1631" t="s">
        <v>25</v>
      </c>
      <c r="L1631" t="s">
        <v>26</v>
      </c>
      <c r="M1631" t="b">
        <v>1</v>
      </c>
      <c r="N1631" t="s">
        <v>3635</v>
      </c>
      <c r="O1631" t="str">
        <f>"362.89/91280978883"</f>
        <v>362.89/91280978883</v>
      </c>
      <c r="Q1631" t="b">
        <v>0</v>
      </c>
      <c r="S1631" t="str">
        <f>"9780310355625"</f>
        <v>9780310355625</v>
      </c>
      <c r="T1631" t="str">
        <f>"9780310355656"</f>
        <v>9780310355656</v>
      </c>
      <c r="U1631" t="b">
        <v>0</v>
      </c>
      <c r="W1631" t="b">
        <v>0</v>
      </c>
    </row>
    <row r="1632" spans="1:23" x14ac:dyDescent="0.3">
      <c r="A1632">
        <v>2981181</v>
      </c>
      <c r="B1632">
        <v>68.97</v>
      </c>
      <c r="C1632" t="s">
        <v>3636</v>
      </c>
      <c r="D1632" t="s">
        <v>3637</v>
      </c>
      <c r="E1632" t="s">
        <v>23</v>
      </c>
      <c r="F1632" t="s">
        <v>44</v>
      </c>
      <c r="G1632">
        <v>2013</v>
      </c>
      <c r="H1632" t="s">
        <v>62</v>
      </c>
      <c r="K1632" t="s">
        <v>25</v>
      </c>
      <c r="L1632" t="s">
        <v>26</v>
      </c>
      <c r="M1632" t="b">
        <v>1</v>
      </c>
      <c r="N1632" t="s">
        <v>3638</v>
      </c>
      <c r="Q1632" t="b">
        <v>0</v>
      </c>
      <c r="S1632" t="str">
        <f>"9780310331124"</f>
        <v>9780310331124</v>
      </c>
      <c r="T1632" t="str">
        <f>"9780310331131"</f>
        <v>9780310331131</v>
      </c>
      <c r="U1632" t="b">
        <v>0</v>
      </c>
      <c r="W1632" t="b">
        <v>0</v>
      </c>
    </row>
    <row r="1633" spans="1:23" x14ac:dyDescent="0.3">
      <c r="A1633">
        <v>2981180</v>
      </c>
      <c r="B1633">
        <v>65.52</v>
      </c>
      <c r="C1633" t="s">
        <v>3639</v>
      </c>
      <c r="D1633" t="s">
        <v>3640</v>
      </c>
      <c r="E1633" t="s">
        <v>23</v>
      </c>
      <c r="F1633" t="s">
        <v>44</v>
      </c>
      <c r="G1633">
        <v>2020</v>
      </c>
      <c r="H1633" t="s">
        <v>3641</v>
      </c>
      <c r="K1633" t="s">
        <v>25</v>
      </c>
      <c r="L1633" t="s">
        <v>26</v>
      </c>
      <c r="M1633" t="b">
        <v>1</v>
      </c>
      <c r="N1633" t="s">
        <v>3642</v>
      </c>
      <c r="Q1633" t="b">
        <v>0</v>
      </c>
      <c r="S1633" t="str">
        <f>"9780310358077"</f>
        <v>9780310358077</v>
      </c>
      <c r="T1633" t="str">
        <f>"9780310358084"</f>
        <v>9780310358084</v>
      </c>
      <c r="U1633" t="b">
        <v>0</v>
      </c>
      <c r="W1633" t="b">
        <v>0</v>
      </c>
    </row>
    <row r="1634" spans="1:23" x14ac:dyDescent="0.3">
      <c r="A1634">
        <v>2981179</v>
      </c>
      <c r="B1634">
        <v>34.47</v>
      </c>
      <c r="C1634" t="s">
        <v>3643</v>
      </c>
      <c r="E1634" t="s">
        <v>23</v>
      </c>
      <c r="F1634" t="s">
        <v>44</v>
      </c>
      <c r="G1634">
        <v>2019</v>
      </c>
      <c r="H1634" t="s">
        <v>772</v>
      </c>
      <c r="K1634" t="s">
        <v>25</v>
      </c>
      <c r="L1634" t="s">
        <v>26</v>
      </c>
      <c r="M1634" t="b">
        <v>1</v>
      </c>
      <c r="N1634" t="s">
        <v>776</v>
      </c>
      <c r="P1634" t="s">
        <v>3644</v>
      </c>
      <c r="Q1634" t="b">
        <v>1</v>
      </c>
      <c r="S1634" t="str">
        <f>"9780310363880"</f>
        <v>9780310363880</v>
      </c>
      <c r="T1634" t="str">
        <f>"9780310349105"</f>
        <v>9780310349105</v>
      </c>
      <c r="U1634" t="b">
        <v>0</v>
      </c>
      <c r="W1634" t="b">
        <v>0</v>
      </c>
    </row>
    <row r="1635" spans="1:23" x14ac:dyDescent="0.3">
      <c r="A1635">
        <v>2981178</v>
      </c>
      <c r="B1635">
        <v>14.18</v>
      </c>
      <c r="C1635" t="s">
        <v>3645</v>
      </c>
      <c r="E1635" t="s">
        <v>23</v>
      </c>
      <c r="F1635" t="s">
        <v>44</v>
      </c>
      <c r="G1635">
        <v>2014</v>
      </c>
      <c r="H1635" t="s">
        <v>1212</v>
      </c>
      <c r="K1635" t="s">
        <v>25</v>
      </c>
      <c r="L1635" t="s">
        <v>30</v>
      </c>
      <c r="M1635" t="b">
        <v>1</v>
      </c>
      <c r="N1635" t="s">
        <v>3646</v>
      </c>
      <c r="P1635" t="s">
        <v>2785</v>
      </c>
      <c r="Q1635" t="b">
        <v>1</v>
      </c>
      <c r="T1635" t="str">
        <f>"9780310338291"</f>
        <v>9780310338291</v>
      </c>
      <c r="U1635" t="b">
        <v>0</v>
      </c>
      <c r="W1635" t="b">
        <v>0</v>
      </c>
    </row>
    <row r="1636" spans="1:23" x14ac:dyDescent="0.3">
      <c r="A1636">
        <v>2981177</v>
      </c>
      <c r="B1636">
        <v>56.82</v>
      </c>
      <c r="C1636" t="s">
        <v>3647</v>
      </c>
      <c r="D1636" t="s">
        <v>3648</v>
      </c>
      <c r="E1636" t="s">
        <v>23</v>
      </c>
      <c r="F1636" t="s">
        <v>44</v>
      </c>
      <c r="G1636">
        <v>2010</v>
      </c>
      <c r="H1636" t="s">
        <v>62</v>
      </c>
      <c r="K1636" t="s">
        <v>25</v>
      </c>
      <c r="L1636" t="s">
        <v>30</v>
      </c>
      <c r="M1636" t="b">
        <v>1</v>
      </c>
      <c r="N1636" t="s">
        <v>3649</v>
      </c>
      <c r="Q1636" t="b">
        <v>0</v>
      </c>
      <c r="T1636" t="str">
        <f>"9780310563655"</f>
        <v>9780310563655</v>
      </c>
      <c r="U1636" t="b">
        <v>0</v>
      </c>
      <c r="W1636" t="b">
        <v>0</v>
      </c>
    </row>
    <row r="1637" spans="1:23" x14ac:dyDescent="0.3">
      <c r="A1637">
        <v>2981176</v>
      </c>
      <c r="B1637">
        <v>53.97</v>
      </c>
      <c r="C1637" t="s">
        <v>3650</v>
      </c>
      <c r="D1637" t="s">
        <v>3651</v>
      </c>
      <c r="E1637" t="s">
        <v>23</v>
      </c>
      <c r="F1637" t="s">
        <v>44</v>
      </c>
      <c r="G1637">
        <v>2012</v>
      </c>
      <c r="H1637" t="s">
        <v>2702</v>
      </c>
      <c r="K1637" t="s">
        <v>25</v>
      </c>
      <c r="L1637" t="s">
        <v>30</v>
      </c>
      <c r="M1637" t="b">
        <v>1</v>
      </c>
      <c r="N1637" t="s">
        <v>3380</v>
      </c>
      <c r="Q1637" t="b">
        <v>0</v>
      </c>
      <c r="T1637" t="str">
        <f>"9780310492719"</f>
        <v>9780310492719</v>
      </c>
      <c r="U1637" t="b">
        <v>0</v>
      </c>
      <c r="W1637" t="b">
        <v>0</v>
      </c>
    </row>
    <row r="1638" spans="1:23" x14ac:dyDescent="0.3">
      <c r="A1638">
        <v>2981175</v>
      </c>
      <c r="B1638">
        <v>51.72</v>
      </c>
      <c r="C1638" t="s">
        <v>3652</v>
      </c>
      <c r="E1638" t="s">
        <v>23</v>
      </c>
      <c r="F1638" t="s">
        <v>44</v>
      </c>
      <c r="G1638">
        <v>2011</v>
      </c>
      <c r="H1638" t="s">
        <v>89</v>
      </c>
      <c r="K1638" t="s">
        <v>25</v>
      </c>
      <c r="L1638" t="s">
        <v>30</v>
      </c>
      <c r="M1638" t="b">
        <v>1</v>
      </c>
      <c r="N1638" t="s">
        <v>3653</v>
      </c>
      <c r="Q1638" t="b">
        <v>0</v>
      </c>
      <c r="S1638" t="str">
        <f>"9780310272311"</f>
        <v>9780310272311</v>
      </c>
      <c r="T1638" t="str">
        <f>"9780310866596"</f>
        <v>9780310866596</v>
      </c>
      <c r="U1638" t="b">
        <v>0</v>
      </c>
      <c r="W1638" t="b">
        <v>0</v>
      </c>
    </row>
    <row r="1639" spans="1:23" x14ac:dyDescent="0.3">
      <c r="A1639">
        <v>2981174</v>
      </c>
      <c r="B1639">
        <v>44.82</v>
      </c>
      <c r="C1639" t="s">
        <v>3654</v>
      </c>
      <c r="D1639" t="s">
        <v>3655</v>
      </c>
      <c r="E1639" t="s">
        <v>23</v>
      </c>
      <c r="F1639" t="s">
        <v>44</v>
      </c>
      <c r="G1639">
        <v>2009</v>
      </c>
      <c r="H1639" t="s">
        <v>99</v>
      </c>
      <c r="K1639" t="s">
        <v>25</v>
      </c>
      <c r="L1639" t="s">
        <v>30</v>
      </c>
      <c r="M1639" t="b">
        <v>1</v>
      </c>
      <c r="N1639" t="s">
        <v>3656</v>
      </c>
      <c r="Q1639" t="b">
        <v>0</v>
      </c>
      <c r="S1639" t="str">
        <f>"9780310219552"</f>
        <v>9780310219552</v>
      </c>
      <c r="T1639" t="str">
        <f>"9780310863823"</f>
        <v>9780310863823</v>
      </c>
      <c r="U1639" t="b">
        <v>0</v>
      </c>
      <c r="W1639" t="b">
        <v>0</v>
      </c>
    </row>
    <row r="1640" spans="1:23" x14ac:dyDescent="0.3">
      <c r="A1640">
        <v>2981173</v>
      </c>
      <c r="B1640">
        <v>44.82</v>
      </c>
      <c r="C1640" t="s">
        <v>3657</v>
      </c>
      <c r="D1640" t="s">
        <v>3658</v>
      </c>
      <c r="E1640" t="s">
        <v>23</v>
      </c>
      <c r="F1640" t="s">
        <v>44</v>
      </c>
      <c r="G1640">
        <v>2009</v>
      </c>
      <c r="H1640" t="s">
        <v>728</v>
      </c>
      <c r="K1640" t="s">
        <v>25</v>
      </c>
      <c r="L1640" t="s">
        <v>30</v>
      </c>
      <c r="M1640" t="b">
        <v>1</v>
      </c>
      <c r="N1640" t="s">
        <v>3066</v>
      </c>
      <c r="P1640" t="s">
        <v>3412</v>
      </c>
      <c r="Q1640" t="b">
        <v>1</v>
      </c>
      <c r="S1640" t="str">
        <f>"9780310202103"</f>
        <v>9780310202103</v>
      </c>
      <c r="T1640" t="str">
        <f>"9780310829720"</f>
        <v>9780310829720</v>
      </c>
      <c r="U1640" t="b">
        <v>0</v>
      </c>
      <c r="W1640" t="b">
        <v>0</v>
      </c>
    </row>
    <row r="1641" spans="1:23" x14ac:dyDescent="0.3">
      <c r="A1641">
        <v>2981172</v>
      </c>
      <c r="B1641">
        <v>27.57</v>
      </c>
      <c r="C1641" t="s">
        <v>3659</v>
      </c>
      <c r="D1641" t="s">
        <v>3660</v>
      </c>
      <c r="E1641" t="s">
        <v>23</v>
      </c>
      <c r="F1641" t="s">
        <v>44</v>
      </c>
      <c r="G1641">
        <v>2014</v>
      </c>
      <c r="H1641" t="s">
        <v>736</v>
      </c>
      <c r="K1641" t="s">
        <v>25</v>
      </c>
      <c r="L1641" t="s">
        <v>30</v>
      </c>
      <c r="M1641" t="b">
        <v>1</v>
      </c>
      <c r="N1641" t="s">
        <v>3661</v>
      </c>
      <c r="P1641" t="s">
        <v>3507</v>
      </c>
      <c r="Q1641" t="b">
        <v>0</v>
      </c>
      <c r="S1641" t="str">
        <f>"9780310433347"</f>
        <v>9780310433347</v>
      </c>
      <c r="T1641" t="str">
        <f>"9780310433521"</f>
        <v>9780310433521</v>
      </c>
      <c r="U1641" t="b">
        <v>0</v>
      </c>
      <c r="W1641" t="b">
        <v>0</v>
      </c>
    </row>
    <row r="1642" spans="1:23" x14ac:dyDescent="0.3">
      <c r="A1642">
        <v>2981171</v>
      </c>
      <c r="B1642">
        <v>62.07</v>
      </c>
      <c r="C1642" t="s">
        <v>3662</v>
      </c>
      <c r="D1642" t="s">
        <v>3663</v>
      </c>
      <c r="E1642" t="s">
        <v>23</v>
      </c>
      <c r="F1642" t="s">
        <v>44</v>
      </c>
      <c r="G1642">
        <v>2018</v>
      </c>
      <c r="H1642" t="s">
        <v>62</v>
      </c>
      <c r="K1642" t="s">
        <v>25</v>
      </c>
      <c r="L1642" t="s">
        <v>26</v>
      </c>
      <c r="M1642" t="b">
        <v>1</v>
      </c>
      <c r="N1642" t="s">
        <v>3664</v>
      </c>
      <c r="Q1642" t="b">
        <v>0</v>
      </c>
      <c r="S1642" t="str">
        <f>"9780310240518"</f>
        <v>9780310240518</v>
      </c>
      <c r="T1642" t="str">
        <f>"9780310356301"</f>
        <v>9780310356301</v>
      </c>
      <c r="U1642" t="b">
        <v>0</v>
      </c>
      <c r="W1642" t="b">
        <v>0</v>
      </c>
    </row>
    <row r="1643" spans="1:23" x14ac:dyDescent="0.3">
      <c r="A1643">
        <v>2981170</v>
      </c>
      <c r="B1643">
        <v>44.82</v>
      </c>
      <c r="C1643" t="s">
        <v>3665</v>
      </c>
      <c r="D1643" t="s">
        <v>3666</v>
      </c>
      <c r="E1643" t="s">
        <v>23</v>
      </c>
      <c r="F1643" t="s">
        <v>44</v>
      </c>
      <c r="G1643">
        <v>2009</v>
      </c>
      <c r="H1643" t="s">
        <v>1209</v>
      </c>
      <c r="K1643" t="s">
        <v>25</v>
      </c>
      <c r="L1643" t="s">
        <v>30</v>
      </c>
      <c r="M1643" t="b">
        <v>1</v>
      </c>
      <c r="N1643" t="s">
        <v>3667</v>
      </c>
      <c r="Q1643" t="b">
        <v>0</v>
      </c>
      <c r="S1643" t="str">
        <f>"9780310242673"</f>
        <v>9780310242673</v>
      </c>
      <c r="T1643" t="str">
        <f>"9780310865605"</f>
        <v>9780310865605</v>
      </c>
      <c r="U1643" t="b">
        <v>0</v>
      </c>
      <c r="W1643" t="b">
        <v>0</v>
      </c>
    </row>
    <row r="1644" spans="1:23" x14ac:dyDescent="0.3">
      <c r="A1644">
        <v>2981169</v>
      </c>
      <c r="B1644">
        <v>34.47</v>
      </c>
      <c r="C1644" t="s">
        <v>3668</v>
      </c>
      <c r="E1644" t="s">
        <v>23</v>
      </c>
      <c r="F1644" t="s">
        <v>44</v>
      </c>
      <c r="G1644">
        <v>2009</v>
      </c>
      <c r="H1644" t="s">
        <v>168</v>
      </c>
      <c r="K1644" t="s">
        <v>25</v>
      </c>
      <c r="L1644" t="s">
        <v>30</v>
      </c>
      <c r="M1644" t="b">
        <v>1</v>
      </c>
      <c r="N1644" t="s">
        <v>3076</v>
      </c>
      <c r="P1644" t="s">
        <v>3077</v>
      </c>
      <c r="Q1644" t="b">
        <v>0</v>
      </c>
      <c r="S1644" t="str">
        <f>"9780310274308"</f>
        <v>9780310274308</v>
      </c>
      <c r="T1644" t="str">
        <f>"9780310863144"</f>
        <v>9780310863144</v>
      </c>
      <c r="U1644" t="b">
        <v>0</v>
      </c>
      <c r="W1644" t="b">
        <v>0</v>
      </c>
    </row>
    <row r="1645" spans="1:23" x14ac:dyDescent="0.3">
      <c r="A1645">
        <v>2981168</v>
      </c>
      <c r="B1645">
        <v>55.17</v>
      </c>
      <c r="C1645" t="s">
        <v>3669</v>
      </c>
      <c r="D1645" t="s">
        <v>3670</v>
      </c>
      <c r="E1645" t="s">
        <v>23</v>
      </c>
      <c r="F1645" t="s">
        <v>44</v>
      </c>
      <c r="G1645">
        <v>2010</v>
      </c>
      <c r="H1645" t="s">
        <v>58</v>
      </c>
      <c r="K1645" t="s">
        <v>25</v>
      </c>
      <c r="L1645" t="s">
        <v>30</v>
      </c>
      <c r="M1645" t="b">
        <v>1</v>
      </c>
      <c r="N1645" t="s">
        <v>3671</v>
      </c>
      <c r="Q1645" t="b">
        <v>0</v>
      </c>
      <c r="S1645" t="str">
        <f>"9780310294023"</f>
        <v>9780310294023</v>
      </c>
      <c r="T1645" t="str">
        <f>"9780310395713"</f>
        <v>9780310395713</v>
      </c>
      <c r="U1645" t="b">
        <v>0</v>
      </c>
      <c r="W1645" t="b">
        <v>0</v>
      </c>
    </row>
    <row r="1646" spans="1:23" x14ac:dyDescent="0.3">
      <c r="A1646">
        <v>2981167</v>
      </c>
      <c r="B1646">
        <v>55.17</v>
      </c>
      <c r="C1646" t="s">
        <v>3672</v>
      </c>
      <c r="D1646" t="s">
        <v>3673</v>
      </c>
      <c r="E1646" t="s">
        <v>23</v>
      </c>
      <c r="F1646" t="s">
        <v>44</v>
      </c>
      <c r="G1646">
        <v>2010</v>
      </c>
      <c r="H1646" t="s">
        <v>58</v>
      </c>
      <c r="K1646" t="s">
        <v>25</v>
      </c>
      <c r="L1646" t="s">
        <v>30</v>
      </c>
      <c r="M1646" t="b">
        <v>1</v>
      </c>
      <c r="N1646" t="s">
        <v>3674</v>
      </c>
      <c r="Q1646" t="b">
        <v>0</v>
      </c>
      <c r="S1646" t="str">
        <f>"9780310205159"</f>
        <v>9780310205159</v>
      </c>
      <c r="T1646" t="str">
        <f>"9780310872009"</f>
        <v>9780310872009</v>
      </c>
      <c r="U1646" t="b">
        <v>0</v>
      </c>
      <c r="W1646" t="b">
        <v>0</v>
      </c>
    </row>
    <row r="1647" spans="1:23" x14ac:dyDescent="0.3">
      <c r="A1647">
        <v>2981166</v>
      </c>
      <c r="B1647">
        <v>55.17</v>
      </c>
      <c r="C1647" t="s">
        <v>3675</v>
      </c>
      <c r="E1647" t="s">
        <v>23</v>
      </c>
      <c r="F1647" t="s">
        <v>44</v>
      </c>
      <c r="G1647">
        <v>2021</v>
      </c>
      <c r="H1647" t="s">
        <v>772</v>
      </c>
      <c r="K1647" t="s">
        <v>25</v>
      </c>
      <c r="L1647" t="s">
        <v>26</v>
      </c>
      <c r="M1647" t="b">
        <v>1</v>
      </c>
      <c r="N1647" t="s">
        <v>773</v>
      </c>
      <c r="P1647" t="s">
        <v>774</v>
      </c>
      <c r="Q1647" t="b">
        <v>1</v>
      </c>
      <c r="S1647" t="str">
        <f>"9780310364481"</f>
        <v>9780310364481</v>
      </c>
      <c r="T1647" t="str">
        <f>"9780310364498"</f>
        <v>9780310364498</v>
      </c>
      <c r="U1647" t="b">
        <v>0</v>
      </c>
      <c r="W1647" t="b">
        <v>0</v>
      </c>
    </row>
    <row r="1648" spans="1:23" x14ac:dyDescent="0.3">
      <c r="A1648">
        <v>2981165</v>
      </c>
      <c r="B1648">
        <v>55.17</v>
      </c>
      <c r="C1648" t="s">
        <v>3676</v>
      </c>
      <c r="D1648" t="s">
        <v>3677</v>
      </c>
      <c r="E1648" t="s">
        <v>23</v>
      </c>
      <c r="F1648" t="s">
        <v>44</v>
      </c>
      <c r="G1648">
        <v>2017</v>
      </c>
      <c r="H1648" t="s">
        <v>132</v>
      </c>
      <c r="K1648" t="s">
        <v>25</v>
      </c>
      <c r="L1648" t="s">
        <v>26</v>
      </c>
      <c r="M1648" t="b">
        <v>1</v>
      </c>
      <c r="N1648" t="s">
        <v>904</v>
      </c>
      <c r="Q1648" t="b">
        <v>0</v>
      </c>
      <c r="S1648" t="str">
        <f>"9780310345879"</f>
        <v>9780310345879</v>
      </c>
      <c r="T1648" t="str">
        <f>"9780310345848"</f>
        <v>9780310345848</v>
      </c>
      <c r="U1648" t="b">
        <v>0</v>
      </c>
      <c r="W1648" t="b">
        <v>0</v>
      </c>
    </row>
    <row r="1649" spans="1:23" x14ac:dyDescent="0.3">
      <c r="A1649">
        <v>2981164</v>
      </c>
      <c r="B1649">
        <v>44.82</v>
      </c>
      <c r="C1649" t="s">
        <v>3678</v>
      </c>
      <c r="D1649" t="s">
        <v>3679</v>
      </c>
      <c r="E1649" t="s">
        <v>23</v>
      </c>
      <c r="F1649" t="s">
        <v>44</v>
      </c>
      <c r="G1649">
        <v>2009</v>
      </c>
      <c r="H1649" t="s">
        <v>3680</v>
      </c>
      <c r="K1649" t="s">
        <v>25</v>
      </c>
      <c r="L1649" t="s">
        <v>30</v>
      </c>
      <c r="M1649" t="b">
        <v>1</v>
      </c>
      <c r="N1649" t="s">
        <v>2686</v>
      </c>
      <c r="Q1649" t="b">
        <v>0</v>
      </c>
      <c r="S1649" t="str">
        <f>"9780310211532"</f>
        <v>9780310211532</v>
      </c>
      <c r="T1649" t="str">
        <f>"9780310864493"</f>
        <v>9780310864493</v>
      </c>
      <c r="U1649" t="b">
        <v>0</v>
      </c>
      <c r="W1649" t="b">
        <v>0</v>
      </c>
    </row>
    <row r="1650" spans="1:23" x14ac:dyDescent="0.3">
      <c r="A1650">
        <v>2981163</v>
      </c>
      <c r="B1650">
        <v>34.47</v>
      </c>
      <c r="C1650" t="s">
        <v>3681</v>
      </c>
      <c r="D1650" t="s">
        <v>3682</v>
      </c>
      <c r="E1650" t="s">
        <v>23</v>
      </c>
      <c r="F1650" t="s">
        <v>44</v>
      </c>
      <c r="G1650">
        <v>2010</v>
      </c>
      <c r="H1650" t="s">
        <v>1293</v>
      </c>
      <c r="K1650" t="s">
        <v>25</v>
      </c>
      <c r="L1650" t="s">
        <v>30</v>
      </c>
      <c r="M1650" t="b">
        <v>1</v>
      </c>
      <c r="N1650" t="s">
        <v>1285</v>
      </c>
      <c r="Q1650" t="b">
        <v>0</v>
      </c>
      <c r="S1650" t="str">
        <f>"9780310258148"</f>
        <v>9780310258148</v>
      </c>
      <c r="T1650" t="str">
        <f>"9780310861737"</f>
        <v>9780310861737</v>
      </c>
      <c r="U1650" t="b">
        <v>0</v>
      </c>
      <c r="W1650" t="b">
        <v>0</v>
      </c>
    </row>
    <row r="1651" spans="1:23" x14ac:dyDescent="0.3">
      <c r="A1651">
        <v>2981162</v>
      </c>
      <c r="B1651">
        <v>34.47</v>
      </c>
      <c r="C1651" t="s">
        <v>3683</v>
      </c>
      <c r="D1651" t="s">
        <v>3684</v>
      </c>
      <c r="E1651" t="s">
        <v>23</v>
      </c>
      <c r="F1651" t="s">
        <v>44</v>
      </c>
      <c r="G1651">
        <v>2013</v>
      </c>
      <c r="H1651" t="s">
        <v>716</v>
      </c>
      <c r="K1651" t="s">
        <v>25</v>
      </c>
      <c r="L1651" t="s">
        <v>30</v>
      </c>
      <c r="M1651" t="b">
        <v>1</v>
      </c>
      <c r="N1651" t="s">
        <v>1908</v>
      </c>
      <c r="P1651" t="s">
        <v>1909</v>
      </c>
      <c r="Q1651" t="b">
        <v>1</v>
      </c>
      <c r="S1651" t="str">
        <f>"9780310737643"</f>
        <v>9780310737643</v>
      </c>
      <c r="T1651" t="str">
        <f>"9780310735007"</f>
        <v>9780310735007</v>
      </c>
      <c r="U1651" t="b">
        <v>0</v>
      </c>
      <c r="W1651" t="b">
        <v>0</v>
      </c>
    </row>
    <row r="1652" spans="1:23" x14ac:dyDescent="0.3">
      <c r="A1652">
        <v>2981161</v>
      </c>
      <c r="B1652">
        <v>65.52</v>
      </c>
      <c r="C1652" t="s">
        <v>3685</v>
      </c>
      <c r="D1652" t="s">
        <v>3686</v>
      </c>
      <c r="E1652" t="s">
        <v>23</v>
      </c>
      <c r="F1652" t="s">
        <v>44</v>
      </c>
      <c r="G1652">
        <v>2021</v>
      </c>
      <c r="H1652" t="s">
        <v>715</v>
      </c>
      <c r="K1652" t="s">
        <v>25</v>
      </c>
      <c r="L1652" t="s">
        <v>26</v>
      </c>
      <c r="M1652" t="b">
        <v>1</v>
      </c>
      <c r="N1652" t="s">
        <v>1014</v>
      </c>
      <c r="Q1652" t="b">
        <v>1</v>
      </c>
      <c r="S1652" t="str">
        <f>"9780310456599"</f>
        <v>9780310456599</v>
      </c>
      <c r="T1652" t="str">
        <f>"9780310456551"</f>
        <v>9780310456551</v>
      </c>
      <c r="U1652" t="b">
        <v>0</v>
      </c>
      <c r="W1652" t="b">
        <v>0</v>
      </c>
    </row>
    <row r="1653" spans="1:23" x14ac:dyDescent="0.3">
      <c r="A1653">
        <v>2981160</v>
      </c>
      <c r="B1653">
        <v>51.72</v>
      </c>
      <c r="C1653" t="s">
        <v>3687</v>
      </c>
      <c r="D1653" t="s">
        <v>3688</v>
      </c>
      <c r="E1653" t="s">
        <v>23</v>
      </c>
      <c r="F1653" t="s">
        <v>44</v>
      </c>
      <c r="G1653">
        <v>2010</v>
      </c>
      <c r="H1653" t="s">
        <v>880</v>
      </c>
      <c r="K1653" t="s">
        <v>25</v>
      </c>
      <c r="L1653" t="s">
        <v>30</v>
      </c>
      <c r="M1653" t="b">
        <v>1</v>
      </c>
      <c r="N1653" t="s">
        <v>1041</v>
      </c>
      <c r="Q1653" t="b">
        <v>0</v>
      </c>
      <c r="S1653" t="str">
        <f>"9780310328674"</f>
        <v>9780310328674</v>
      </c>
      <c r="T1653" t="str">
        <f>"9780310889779"</f>
        <v>9780310889779</v>
      </c>
      <c r="U1653" t="b">
        <v>0</v>
      </c>
      <c r="W1653" t="b">
        <v>0</v>
      </c>
    </row>
    <row r="1654" spans="1:23" x14ac:dyDescent="0.3">
      <c r="A1654">
        <v>2981159</v>
      </c>
      <c r="B1654">
        <v>35.5</v>
      </c>
      <c r="C1654" t="s">
        <v>3689</v>
      </c>
      <c r="D1654" t="s">
        <v>3690</v>
      </c>
      <c r="E1654" t="s">
        <v>23</v>
      </c>
      <c r="F1654" t="s">
        <v>44</v>
      </c>
      <c r="G1654">
        <v>2012</v>
      </c>
      <c r="H1654" t="s">
        <v>3691</v>
      </c>
      <c r="K1654" t="s">
        <v>25</v>
      </c>
      <c r="L1654" t="s">
        <v>26</v>
      </c>
      <c r="M1654" t="b">
        <v>1</v>
      </c>
      <c r="N1654" t="s">
        <v>1849</v>
      </c>
      <c r="Q1654" t="b">
        <v>0</v>
      </c>
      <c r="S1654" t="str">
        <f>"9780310346227"</f>
        <v>9780310346227</v>
      </c>
      <c r="T1654" t="str">
        <f>"9780310417347"</f>
        <v>9780310417347</v>
      </c>
      <c r="U1654" t="b">
        <v>0</v>
      </c>
      <c r="W1654" t="b">
        <v>0</v>
      </c>
    </row>
    <row r="1655" spans="1:23" x14ac:dyDescent="0.3">
      <c r="A1655">
        <v>2981158</v>
      </c>
      <c r="B1655">
        <v>58.62</v>
      </c>
      <c r="C1655" t="s">
        <v>3692</v>
      </c>
      <c r="E1655" t="s">
        <v>23</v>
      </c>
      <c r="F1655" t="s">
        <v>44</v>
      </c>
      <c r="G1655">
        <v>2011</v>
      </c>
      <c r="H1655" t="s">
        <v>66</v>
      </c>
      <c r="K1655" t="s">
        <v>25</v>
      </c>
      <c r="L1655" t="s">
        <v>26</v>
      </c>
      <c r="M1655" t="b">
        <v>1</v>
      </c>
      <c r="N1655" t="s">
        <v>77</v>
      </c>
      <c r="P1655" t="s">
        <v>3693</v>
      </c>
      <c r="Q1655" t="b">
        <v>1</v>
      </c>
      <c r="S1655" t="str">
        <f>"9780785237952"</f>
        <v>9780785237952</v>
      </c>
      <c r="T1655" t="str">
        <f>"9780310289203"</f>
        <v>9780310289203</v>
      </c>
      <c r="U1655" t="b">
        <v>0</v>
      </c>
      <c r="W1655" t="b">
        <v>0</v>
      </c>
    </row>
    <row r="1656" spans="1:23" x14ac:dyDescent="0.3">
      <c r="A1656">
        <v>2981157</v>
      </c>
      <c r="B1656">
        <v>14.18</v>
      </c>
      <c r="C1656" t="s">
        <v>911</v>
      </c>
      <c r="D1656" t="s">
        <v>3250</v>
      </c>
      <c r="E1656" t="s">
        <v>23</v>
      </c>
      <c r="F1656" t="s">
        <v>44</v>
      </c>
      <c r="G1656">
        <v>2020</v>
      </c>
      <c r="H1656" t="s">
        <v>772</v>
      </c>
      <c r="K1656" t="s">
        <v>25</v>
      </c>
      <c r="L1656" t="s">
        <v>30</v>
      </c>
      <c r="M1656" t="b">
        <v>1</v>
      </c>
      <c r="N1656" t="s">
        <v>776</v>
      </c>
      <c r="Q1656" t="b">
        <v>1</v>
      </c>
      <c r="T1656" t="str">
        <f>"9780310360414"</f>
        <v>9780310360414</v>
      </c>
      <c r="U1656" t="b">
        <v>0</v>
      </c>
      <c r="W1656" t="b">
        <v>0</v>
      </c>
    </row>
    <row r="1657" spans="1:23" x14ac:dyDescent="0.3">
      <c r="A1657">
        <v>2981156</v>
      </c>
      <c r="B1657">
        <v>62.07</v>
      </c>
      <c r="C1657" t="s">
        <v>3694</v>
      </c>
      <c r="D1657" t="s">
        <v>3695</v>
      </c>
      <c r="E1657" t="s">
        <v>23</v>
      </c>
      <c r="F1657" t="s">
        <v>44</v>
      </c>
      <c r="G1657">
        <v>2018</v>
      </c>
      <c r="H1657" t="s">
        <v>132</v>
      </c>
      <c r="K1657" t="s">
        <v>25</v>
      </c>
      <c r="L1657" t="s">
        <v>26</v>
      </c>
      <c r="M1657" t="b">
        <v>1</v>
      </c>
      <c r="N1657" t="s">
        <v>220</v>
      </c>
      <c r="Q1657" t="b">
        <v>0</v>
      </c>
      <c r="S1657" t="str">
        <f>"9780310346685"</f>
        <v>9780310346685</v>
      </c>
      <c r="T1657" t="str">
        <f>"9780310092896"</f>
        <v>9780310092896</v>
      </c>
      <c r="U1657" t="b">
        <v>0</v>
      </c>
      <c r="W1657" t="b">
        <v>0</v>
      </c>
    </row>
    <row r="1658" spans="1:23" x14ac:dyDescent="0.3">
      <c r="A1658">
        <v>2981155</v>
      </c>
      <c r="B1658">
        <v>44.82</v>
      </c>
      <c r="C1658" t="s">
        <v>3696</v>
      </c>
      <c r="D1658" t="s">
        <v>3697</v>
      </c>
      <c r="E1658" t="s">
        <v>23</v>
      </c>
      <c r="F1658" t="s">
        <v>44</v>
      </c>
      <c r="G1658">
        <v>2016</v>
      </c>
      <c r="H1658" t="s">
        <v>728</v>
      </c>
      <c r="K1658" t="s">
        <v>25</v>
      </c>
      <c r="L1658" t="s">
        <v>26</v>
      </c>
      <c r="M1658" t="b">
        <v>1</v>
      </c>
      <c r="N1658" t="s">
        <v>3698</v>
      </c>
      <c r="P1658" t="s">
        <v>2785</v>
      </c>
      <c r="Q1658" t="b">
        <v>1</v>
      </c>
      <c r="S1658" t="str">
        <f>"9780310395850"</f>
        <v>9780310395850</v>
      </c>
      <c r="T1658" t="str">
        <f>"9780310396024"</f>
        <v>9780310396024</v>
      </c>
      <c r="U1658" t="b">
        <v>0</v>
      </c>
      <c r="W1658" t="b">
        <v>0</v>
      </c>
    </row>
    <row r="1659" spans="1:23" x14ac:dyDescent="0.3">
      <c r="A1659">
        <v>2981154</v>
      </c>
      <c r="B1659">
        <v>58.62</v>
      </c>
      <c r="C1659" t="s">
        <v>3699</v>
      </c>
      <c r="D1659" t="s">
        <v>3700</v>
      </c>
      <c r="E1659" t="s">
        <v>23</v>
      </c>
      <c r="F1659" t="s">
        <v>44</v>
      </c>
      <c r="G1659">
        <v>2016</v>
      </c>
      <c r="H1659" t="s">
        <v>89</v>
      </c>
      <c r="K1659" t="s">
        <v>25</v>
      </c>
      <c r="L1659" t="s">
        <v>26</v>
      </c>
      <c r="M1659" t="b">
        <v>1</v>
      </c>
      <c r="N1659" t="s">
        <v>3585</v>
      </c>
      <c r="Q1659" t="b">
        <v>0</v>
      </c>
      <c r="S1659" t="str">
        <f>"9780310342229"</f>
        <v>9780310342229</v>
      </c>
      <c r="T1659" t="str">
        <f>"9780310342243"</f>
        <v>9780310342243</v>
      </c>
      <c r="U1659" t="b">
        <v>0</v>
      </c>
      <c r="W1659" t="b">
        <v>0</v>
      </c>
    </row>
    <row r="1660" spans="1:23" x14ac:dyDescent="0.3">
      <c r="A1660">
        <v>2981153</v>
      </c>
      <c r="B1660">
        <v>55.17</v>
      </c>
      <c r="C1660" t="s">
        <v>3701</v>
      </c>
      <c r="E1660" t="s">
        <v>23</v>
      </c>
      <c r="F1660" t="s">
        <v>44</v>
      </c>
      <c r="G1660">
        <v>2010</v>
      </c>
      <c r="H1660" t="s">
        <v>66</v>
      </c>
      <c r="K1660" t="s">
        <v>25</v>
      </c>
      <c r="L1660" t="s">
        <v>30</v>
      </c>
      <c r="M1660" t="b">
        <v>1</v>
      </c>
      <c r="N1660" t="s">
        <v>77</v>
      </c>
      <c r="P1660" t="s">
        <v>3335</v>
      </c>
      <c r="Q1660" t="b">
        <v>1</v>
      </c>
      <c r="S1660" t="str">
        <f>"9780310207078"</f>
        <v>9780310207078</v>
      </c>
      <c r="T1660" t="str">
        <f>"9780310863243"</f>
        <v>9780310863243</v>
      </c>
      <c r="U1660" t="b">
        <v>0</v>
      </c>
      <c r="W1660" t="b">
        <v>0</v>
      </c>
    </row>
    <row r="1661" spans="1:23" x14ac:dyDescent="0.3">
      <c r="A1661">
        <v>2981152</v>
      </c>
      <c r="B1661">
        <v>65.52</v>
      </c>
      <c r="C1661" t="s">
        <v>3702</v>
      </c>
      <c r="D1661" t="s">
        <v>3703</v>
      </c>
      <c r="E1661" t="s">
        <v>23</v>
      </c>
      <c r="F1661" t="s">
        <v>44</v>
      </c>
      <c r="G1661">
        <v>2018</v>
      </c>
      <c r="H1661" t="s">
        <v>3704</v>
      </c>
      <c r="K1661" t="s">
        <v>25</v>
      </c>
      <c r="L1661" t="s">
        <v>26</v>
      </c>
      <c r="M1661" t="b">
        <v>1</v>
      </c>
      <c r="N1661" t="s">
        <v>3705</v>
      </c>
      <c r="Q1661" t="b">
        <v>0</v>
      </c>
      <c r="S1661" t="str">
        <f>"9780310760900"</f>
        <v>9780310760900</v>
      </c>
      <c r="T1661" t="str">
        <f>"9780310760993"</f>
        <v>9780310760993</v>
      </c>
      <c r="U1661" t="b">
        <v>0</v>
      </c>
      <c r="W1661" t="b">
        <v>0</v>
      </c>
    </row>
    <row r="1662" spans="1:23" x14ac:dyDescent="0.3">
      <c r="A1662">
        <v>2981151</v>
      </c>
      <c r="B1662">
        <v>86.22</v>
      </c>
      <c r="C1662" t="s">
        <v>3706</v>
      </c>
      <c r="D1662" t="s">
        <v>3707</v>
      </c>
      <c r="E1662" t="s">
        <v>23</v>
      </c>
      <c r="F1662" t="s">
        <v>44</v>
      </c>
      <c r="G1662">
        <v>2020</v>
      </c>
      <c r="H1662" t="s">
        <v>1234</v>
      </c>
      <c r="K1662" t="s">
        <v>25</v>
      </c>
      <c r="L1662" t="s">
        <v>26</v>
      </c>
      <c r="M1662" t="b">
        <v>1</v>
      </c>
      <c r="N1662" t="s">
        <v>3708</v>
      </c>
      <c r="Q1662" t="b">
        <v>1</v>
      </c>
      <c r="S1662" t="str">
        <f>"9780310355755"</f>
        <v>9780310355755</v>
      </c>
      <c r="T1662" t="str">
        <f>"9780310355762"</f>
        <v>9780310355762</v>
      </c>
      <c r="U1662" t="b">
        <v>0</v>
      </c>
      <c r="W1662" t="b">
        <v>0</v>
      </c>
    </row>
    <row r="1663" spans="1:23" x14ac:dyDescent="0.3">
      <c r="A1663">
        <v>2981150</v>
      </c>
      <c r="B1663">
        <v>39.049999999999997</v>
      </c>
      <c r="C1663" t="s">
        <v>3709</v>
      </c>
      <c r="D1663" t="s">
        <v>3710</v>
      </c>
      <c r="E1663" t="s">
        <v>23</v>
      </c>
      <c r="F1663" t="s">
        <v>44</v>
      </c>
      <c r="G1663">
        <v>2016</v>
      </c>
      <c r="H1663" t="s">
        <v>99</v>
      </c>
      <c r="K1663" t="s">
        <v>25</v>
      </c>
      <c r="L1663" t="s">
        <v>26</v>
      </c>
      <c r="M1663" t="b">
        <v>1</v>
      </c>
      <c r="N1663" t="s">
        <v>3711</v>
      </c>
      <c r="Q1663" t="b">
        <v>0</v>
      </c>
      <c r="S1663" t="str">
        <f>"9780310092018"</f>
        <v>9780310092018</v>
      </c>
      <c r="T1663" t="str">
        <f>"9780310350064"</f>
        <v>9780310350064</v>
      </c>
      <c r="U1663" t="b">
        <v>0</v>
      </c>
      <c r="W1663" t="b">
        <v>0</v>
      </c>
    </row>
    <row r="1664" spans="1:23" x14ac:dyDescent="0.3">
      <c r="A1664">
        <v>2981149</v>
      </c>
      <c r="B1664">
        <v>51.72</v>
      </c>
      <c r="C1664" t="s">
        <v>3712</v>
      </c>
      <c r="D1664" t="s">
        <v>3713</v>
      </c>
      <c r="E1664" t="s">
        <v>23</v>
      </c>
      <c r="F1664" t="s">
        <v>44</v>
      </c>
      <c r="G1664">
        <v>2009</v>
      </c>
      <c r="H1664" t="s">
        <v>736</v>
      </c>
      <c r="K1664" t="s">
        <v>25</v>
      </c>
      <c r="L1664" t="s">
        <v>30</v>
      </c>
      <c r="M1664" t="b">
        <v>1</v>
      </c>
      <c r="N1664" t="s">
        <v>3409</v>
      </c>
      <c r="Q1664" t="b">
        <v>0</v>
      </c>
      <c r="S1664" t="str">
        <f>"9780310229087"</f>
        <v>9780310229087</v>
      </c>
      <c r="T1664" t="str">
        <f>"9780310830801"</f>
        <v>9780310830801</v>
      </c>
      <c r="U1664" t="b">
        <v>0</v>
      </c>
      <c r="W1664" t="b">
        <v>0</v>
      </c>
    </row>
    <row r="1665" spans="1:23" x14ac:dyDescent="0.3">
      <c r="A1665">
        <v>2981148</v>
      </c>
      <c r="B1665">
        <v>58.62</v>
      </c>
      <c r="C1665" t="s">
        <v>3714</v>
      </c>
      <c r="D1665" t="s">
        <v>3715</v>
      </c>
      <c r="E1665" t="s">
        <v>23</v>
      </c>
      <c r="F1665" t="s">
        <v>44</v>
      </c>
      <c r="G1665">
        <v>2014</v>
      </c>
      <c r="H1665" t="s">
        <v>2333</v>
      </c>
      <c r="K1665" t="s">
        <v>25</v>
      </c>
      <c r="L1665" t="s">
        <v>30</v>
      </c>
      <c r="M1665" t="b">
        <v>1</v>
      </c>
      <c r="N1665" t="s">
        <v>403</v>
      </c>
      <c r="Q1665" t="b">
        <v>0</v>
      </c>
      <c r="S1665" t="str">
        <f>"9780310337676"</f>
        <v>9780310337676</v>
      </c>
      <c r="T1665" t="str">
        <f>"9780310337737"</f>
        <v>9780310337737</v>
      </c>
      <c r="U1665" t="b">
        <v>0</v>
      </c>
      <c r="W1665" t="b">
        <v>0</v>
      </c>
    </row>
    <row r="1666" spans="1:23" x14ac:dyDescent="0.3">
      <c r="A1666">
        <v>2981147</v>
      </c>
      <c r="B1666">
        <v>58.62</v>
      </c>
      <c r="C1666" t="s">
        <v>3716</v>
      </c>
      <c r="D1666" t="s">
        <v>3717</v>
      </c>
      <c r="E1666" t="s">
        <v>23</v>
      </c>
      <c r="F1666" t="s">
        <v>44</v>
      </c>
      <c r="G1666">
        <v>2011</v>
      </c>
      <c r="H1666" t="s">
        <v>58</v>
      </c>
      <c r="K1666" t="s">
        <v>25</v>
      </c>
      <c r="L1666" t="s">
        <v>30</v>
      </c>
      <c r="M1666" t="b">
        <v>1</v>
      </c>
      <c r="N1666" t="s">
        <v>54</v>
      </c>
      <c r="Q1666" t="b">
        <v>0</v>
      </c>
      <c r="S1666" t="str">
        <f>"9780310332077"</f>
        <v>9780310332077</v>
      </c>
      <c r="T1666" t="str">
        <f>"9780310332084"</f>
        <v>9780310332084</v>
      </c>
      <c r="U1666" t="b">
        <v>0</v>
      </c>
      <c r="W1666" t="b">
        <v>0</v>
      </c>
    </row>
    <row r="1667" spans="1:23" x14ac:dyDescent="0.3">
      <c r="A1667">
        <v>2981146</v>
      </c>
      <c r="B1667">
        <v>58.62</v>
      </c>
      <c r="C1667" t="s">
        <v>3718</v>
      </c>
      <c r="D1667" t="s">
        <v>3719</v>
      </c>
      <c r="E1667" t="s">
        <v>23</v>
      </c>
      <c r="F1667" t="s">
        <v>44</v>
      </c>
      <c r="G1667">
        <v>2017</v>
      </c>
      <c r="H1667" t="s">
        <v>58</v>
      </c>
      <c r="K1667" t="s">
        <v>25</v>
      </c>
      <c r="L1667" t="s">
        <v>26</v>
      </c>
      <c r="M1667" t="b">
        <v>1</v>
      </c>
      <c r="N1667" t="s">
        <v>3720</v>
      </c>
      <c r="Q1667" t="b">
        <v>0</v>
      </c>
      <c r="S1667" t="str">
        <f>"9780310347866"</f>
        <v>9780310347866</v>
      </c>
      <c r="T1667" t="str">
        <f>"9780310348214"</f>
        <v>9780310348214</v>
      </c>
      <c r="U1667" t="b">
        <v>0</v>
      </c>
      <c r="W1667" t="b">
        <v>0</v>
      </c>
    </row>
    <row r="1668" spans="1:23" x14ac:dyDescent="0.3">
      <c r="A1668">
        <v>2981145</v>
      </c>
      <c r="B1668">
        <v>55.17</v>
      </c>
      <c r="C1668" t="s">
        <v>3721</v>
      </c>
      <c r="D1668" t="s">
        <v>3722</v>
      </c>
      <c r="E1668" t="s">
        <v>23</v>
      </c>
      <c r="F1668" t="s">
        <v>44</v>
      </c>
      <c r="G1668">
        <v>2012</v>
      </c>
      <c r="H1668" t="s">
        <v>58</v>
      </c>
      <c r="K1668" t="s">
        <v>25</v>
      </c>
      <c r="L1668" t="s">
        <v>30</v>
      </c>
      <c r="M1668" t="b">
        <v>1</v>
      </c>
      <c r="N1668" t="s">
        <v>3723</v>
      </c>
      <c r="Q1668" t="b">
        <v>0</v>
      </c>
      <c r="S1668" t="str">
        <f>"9780310318774"</f>
        <v>9780310318774</v>
      </c>
      <c r="T1668" t="str">
        <f>"9780310318781"</f>
        <v>9780310318781</v>
      </c>
      <c r="U1668" t="b">
        <v>0</v>
      </c>
      <c r="W1668" t="b">
        <v>0</v>
      </c>
    </row>
    <row r="1669" spans="1:23" x14ac:dyDescent="0.3">
      <c r="A1669">
        <v>2981144</v>
      </c>
      <c r="B1669">
        <v>51.72</v>
      </c>
      <c r="C1669" t="s">
        <v>3724</v>
      </c>
      <c r="D1669" t="s">
        <v>3725</v>
      </c>
      <c r="E1669" t="s">
        <v>23</v>
      </c>
      <c r="F1669" t="s">
        <v>44</v>
      </c>
      <c r="G1669">
        <v>2018</v>
      </c>
      <c r="H1669" t="s">
        <v>708</v>
      </c>
      <c r="K1669" t="s">
        <v>25</v>
      </c>
      <c r="L1669" t="s">
        <v>26</v>
      </c>
      <c r="M1669" t="b">
        <v>1</v>
      </c>
      <c r="N1669" t="s">
        <v>3726</v>
      </c>
      <c r="Q1669" t="b">
        <v>0</v>
      </c>
      <c r="S1669" t="str">
        <f>"9780310766421"</f>
        <v>9780310766421</v>
      </c>
      <c r="T1669" t="str">
        <f>"9780310766476"</f>
        <v>9780310766476</v>
      </c>
      <c r="U1669" t="b">
        <v>0</v>
      </c>
      <c r="W1669" t="b">
        <v>0</v>
      </c>
    </row>
    <row r="1670" spans="1:23" x14ac:dyDescent="0.3">
      <c r="A1670">
        <v>2981143</v>
      </c>
      <c r="B1670">
        <v>44.82</v>
      </c>
      <c r="C1670" t="s">
        <v>3727</v>
      </c>
      <c r="E1670" t="s">
        <v>23</v>
      </c>
      <c r="F1670" t="s">
        <v>44</v>
      </c>
      <c r="G1670">
        <v>2010</v>
      </c>
      <c r="H1670" t="s">
        <v>74</v>
      </c>
      <c r="K1670" t="s">
        <v>25</v>
      </c>
      <c r="L1670" t="s">
        <v>30</v>
      </c>
      <c r="M1670" t="b">
        <v>1</v>
      </c>
      <c r="N1670" t="s">
        <v>3728</v>
      </c>
      <c r="P1670" t="s">
        <v>3729</v>
      </c>
      <c r="Q1670" t="b">
        <v>1</v>
      </c>
      <c r="S1670" t="str">
        <f>"9780310242963"</f>
        <v>9780310242963</v>
      </c>
      <c r="T1670" t="str">
        <f>"9780310873778"</f>
        <v>9780310873778</v>
      </c>
      <c r="U1670" t="b">
        <v>0</v>
      </c>
      <c r="W1670" t="b">
        <v>0</v>
      </c>
    </row>
    <row r="1671" spans="1:23" x14ac:dyDescent="0.3">
      <c r="A1671">
        <v>2981142</v>
      </c>
      <c r="B1671">
        <v>86.22</v>
      </c>
      <c r="C1671" t="s">
        <v>3730</v>
      </c>
      <c r="D1671" t="s">
        <v>3731</v>
      </c>
      <c r="E1671" t="s">
        <v>23</v>
      </c>
      <c r="F1671" t="s">
        <v>44</v>
      </c>
      <c r="G1671">
        <v>2018</v>
      </c>
      <c r="H1671" t="s">
        <v>872</v>
      </c>
      <c r="K1671" t="s">
        <v>25</v>
      </c>
      <c r="L1671" t="s">
        <v>26</v>
      </c>
      <c r="M1671" t="b">
        <v>1</v>
      </c>
      <c r="N1671" t="s">
        <v>3732</v>
      </c>
      <c r="Q1671" t="b">
        <v>0</v>
      </c>
      <c r="S1671" t="str">
        <f>"9780310352068"</f>
        <v>9780310352068</v>
      </c>
      <c r="T1671" t="str">
        <f>"9780310352075"</f>
        <v>9780310352075</v>
      </c>
      <c r="U1671" t="b">
        <v>0</v>
      </c>
      <c r="W1671" t="b">
        <v>0</v>
      </c>
    </row>
    <row r="1672" spans="1:23" x14ac:dyDescent="0.3">
      <c r="A1672">
        <v>2981141</v>
      </c>
      <c r="B1672">
        <v>42.61</v>
      </c>
      <c r="C1672" t="s">
        <v>3733</v>
      </c>
      <c r="D1672" t="s">
        <v>1405</v>
      </c>
      <c r="E1672" t="s">
        <v>23</v>
      </c>
      <c r="F1672" t="s">
        <v>44</v>
      </c>
      <c r="G1672">
        <v>2010</v>
      </c>
      <c r="H1672" t="s">
        <v>66</v>
      </c>
      <c r="K1672" t="s">
        <v>25</v>
      </c>
      <c r="L1672" t="s">
        <v>30</v>
      </c>
      <c r="M1672" t="b">
        <v>1</v>
      </c>
      <c r="N1672" t="s">
        <v>2709</v>
      </c>
      <c r="Q1672" t="b">
        <v>1</v>
      </c>
      <c r="T1672" t="str">
        <f>"9780310560821"</f>
        <v>9780310560821</v>
      </c>
      <c r="U1672" t="b">
        <v>0</v>
      </c>
      <c r="W1672" t="b">
        <v>0</v>
      </c>
    </row>
    <row r="1673" spans="1:23" x14ac:dyDescent="0.3">
      <c r="A1673">
        <v>2981140</v>
      </c>
      <c r="B1673">
        <v>55.17</v>
      </c>
      <c r="C1673" t="s">
        <v>3734</v>
      </c>
      <c r="E1673" t="s">
        <v>23</v>
      </c>
      <c r="F1673" t="s">
        <v>44</v>
      </c>
      <c r="G1673">
        <v>2021</v>
      </c>
      <c r="H1673" t="s">
        <v>772</v>
      </c>
      <c r="K1673" t="s">
        <v>25</v>
      </c>
      <c r="L1673" t="s">
        <v>26</v>
      </c>
      <c r="M1673" t="b">
        <v>1</v>
      </c>
      <c r="N1673" t="s">
        <v>742</v>
      </c>
      <c r="P1673" t="s">
        <v>980</v>
      </c>
      <c r="Q1673" t="b">
        <v>1</v>
      </c>
      <c r="S1673" t="str">
        <f>"9780310358930"</f>
        <v>9780310358930</v>
      </c>
      <c r="T1673" t="str">
        <f>"9780310358947"</f>
        <v>9780310358947</v>
      </c>
      <c r="U1673" t="b">
        <v>0</v>
      </c>
      <c r="W1673" t="b">
        <v>0</v>
      </c>
    </row>
    <row r="1674" spans="1:23" x14ac:dyDescent="0.3">
      <c r="A1674">
        <v>2981139</v>
      </c>
      <c r="B1674">
        <v>42.61</v>
      </c>
      <c r="C1674" t="s">
        <v>3735</v>
      </c>
      <c r="E1674" t="s">
        <v>23</v>
      </c>
      <c r="F1674" t="s">
        <v>44</v>
      </c>
      <c r="G1674">
        <v>2009</v>
      </c>
      <c r="H1674" t="s">
        <v>58</v>
      </c>
      <c r="K1674" t="s">
        <v>25</v>
      </c>
      <c r="L1674" t="s">
        <v>26</v>
      </c>
      <c r="M1674" t="b">
        <v>1</v>
      </c>
      <c r="N1674" t="s">
        <v>3165</v>
      </c>
      <c r="Q1674" t="b">
        <v>0</v>
      </c>
      <c r="T1674" t="str">
        <f>"9780310562863"</f>
        <v>9780310562863</v>
      </c>
      <c r="U1674" t="b">
        <v>0</v>
      </c>
      <c r="W1674" t="b">
        <v>0</v>
      </c>
    </row>
    <row r="1675" spans="1:23" x14ac:dyDescent="0.3">
      <c r="A1675">
        <v>2981138</v>
      </c>
      <c r="B1675">
        <v>124.34</v>
      </c>
      <c r="C1675" t="s">
        <v>3736</v>
      </c>
      <c r="D1675" t="s">
        <v>3737</v>
      </c>
      <c r="E1675" t="s">
        <v>23</v>
      </c>
      <c r="F1675" t="s">
        <v>44</v>
      </c>
      <c r="G1675">
        <v>2014</v>
      </c>
      <c r="H1675" t="s">
        <v>66</v>
      </c>
      <c r="K1675" t="s">
        <v>25</v>
      </c>
      <c r="L1675" t="s">
        <v>30</v>
      </c>
      <c r="M1675" t="b">
        <v>1</v>
      </c>
      <c r="N1675" t="s">
        <v>77</v>
      </c>
      <c r="P1675" t="s">
        <v>3693</v>
      </c>
      <c r="Q1675" t="b">
        <v>1</v>
      </c>
      <c r="T1675" t="str">
        <f>"9780310342601"</f>
        <v>9780310342601</v>
      </c>
      <c r="U1675" t="b">
        <v>0</v>
      </c>
      <c r="W1675" t="b">
        <v>0</v>
      </c>
    </row>
    <row r="1676" spans="1:23" x14ac:dyDescent="0.3">
      <c r="A1676">
        <v>2981137</v>
      </c>
      <c r="B1676">
        <v>62.07</v>
      </c>
      <c r="C1676" t="s">
        <v>3738</v>
      </c>
      <c r="D1676" t="s">
        <v>3739</v>
      </c>
      <c r="E1676" t="s">
        <v>23</v>
      </c>
      <c r="F1676" t="s">
        <v>44</v>
      </c>
      <c r="G1676">
        <v>2019</v>
      </c>
      <c r="H1676" t="s">
        <v>2378</v>
      </c>
      <c r="K1676" t="s">
        <v>25</v>
      </c>
      <c r="L1676" t="s">
        <v>26</v>
      </c>
      <c r="M1676" t="b">
        <v>1</v>
      </c>
      <c r="N1676" t="s">
        <v>3740</v>
      </c>
      <c r="Q1676" t="b">
        <v>0</v>
      </c>
      <c r="S1676" t="str">
        <f>"9780310352426"</f>
        <v>9780310352426</v>
      </c>
      <c r="T1676" t="str">
        <f>"9780310352433"</f>
        <v>9780310352433</v>
      </c>
      <c r="U1676" t="b">
        <v>0</v>
      </c>
      <c r="W1676" t="b">
        <v>0</v>
      </c>
    </row>
    <row r="1677" spans="1:23" x14ac:dyDescent="0.3">
      <c r="A1677">
        <v>2981136</v>
      </c>
      <c r="B1677">
        <v>14.18</v>
      </c>
      <c r="C1677" t="s">
        <v>3741</v>
      </c>
      <c r="E1677" t="s">
        <v>23</v>
      </c>
      <c r="F1677" t="s">
        <v>44</v>
      </c>
      <c r="G1677">
        <v>2014</v>
      </c>
      <c r="H1677" t="s">
        <v>1212</v>
      </c>
      <c r="K1677" t="s">
        <v>25</v>
      </c>
      <c r="L1677" t="s">
        <v>30</v>
      </c>
      <c r="M1677" t="b">
        <v>1</v>
      </c>
      <c r="N1677" t="s">
        <v>3742</v>
      </c>
      <c r="P1677" t="s">
        <v>2785</v>
      </c>
      <c r="Q1677" t="b">
        <v>1</v>
      </c>
      <c r="T1677" t="str">
        <f>"9780310338703"</f>
        <v>9780310338703</v>
      </c>
      <c r="U1677" t="b">
        <v>0</v>
      </c>
      <c r="W1677" t="b">
        <v>0</v>
      </c>
    </row>
    <row r="1678" spans="1:23" x14ac:dyDescent="0.3">
      <c r="A1678">
        <v>2981134</v>
      </c>
      <c r="B1678">
        <v>86.22</v>
      </c>
      <c r="C1678" t="s">
        <v>3743</v>
      </c>
      <c r="D1678" t="s">
        <v>3744</v>
      </c>
      <c r="E1678" t="s">
        <v>23</v>
      </c>
      <c r="F1678" t="s">
        <v>44</v>
      </c>
      <c r="G1678">
        <v>2021</v>
      </c>
      <c r="H1678" t="s">
        <v>1208</v>
      </c>
      <c r="K1678" t="s">
        <v>25</v>
      </c>
      <c r="L1678" t="s">
        <v>26</v>
      </c>
      <c r="M1678" t="b">
        <v>1</v>
      </c>
      <c r="N1678" t="s">
        <v>3745</v>
      </c>
      <c r="Q1678" t="b">
        <v>0</v>
      </c>
      <c r="S1678" t="str">
        <f>"9780310361206"</f>
        <v>9780310361206</v>
      </c>
      <c r="T1678" t="str">
        <f>"9780310361213"</f>
        <v>9780310361213</v>
      </c>
      <c r="U1678" t="b">
        <v>0</v>
      </c>
      <c r="W1678" t="b">
        <v>0</v>
      </c>
    </row>
    <row r="1679" spans="1:23" x14ac:dyDescent="0.3">
      <c r="A1679">
        <v>2981133</v>
      </c>
      <c r="B1679">
        <v>58.62</v>
      </c>
      <c r="C1679" t="s">
        <v>3746</v>
      </c>
      <c r="D1679" t="s">
        <v>3747</v>
      </c>
      <c r="E1679" t="s">
        <v>23</v>
      </c>
      <c r="F1679" t="s">
        <v>44</v>
      </c>
      <c r="G1679">
        <v>2013</v>
      </c>
      <c r="H1679" t="s">
        <v>56</v>
      </c>
      <c r="I1679" t="s">
        <v>3748</v>
      </c>
      <c r="J1679" t="s">
        <v>3749</v>
      </c>
      <c r="K1679" t="s">
        <v>25</v>
      </c>
      <c r="L1679" t="s">
        <v>30</v>
      </c>
      <c r="M1679" t="b">
        <v>1</v>
      </c>
      <c r="N1679" t="s">
        <v>2223</v>
      </c>
      <c r="O1679" t="str">
        <f>"253.5"</f>
        <v>253.5</v>
      </c>
      <c r="Q1679" t="b">
        <v>0</v>
      </c>
      <c r="S1679" t="str">
        <f>"9780310336075"</f>
        <v>9780310336075</v>
      </c>
      <c r="T1679" t="str">
        <f>"9780310337027"</f>
        <v>9780310337027</v>
      </c>
      <c r="U1679" t="b">
        <v>0</v>
      </c>
      <c r="W1679" t="b">
        <v>0</v>
      </c>
    </row>
    <row r="1680" spans="1:23" x14ac:dyDescent="0.3">
      <c r="A1680">
        <v>2981132</v>
      </c>
      <c r="B1680">
        <v>28.39</v>
      </c>
      <c r="C1680" t="s">
        <v>3750</v>
      </c>
      <c r="E1680" t="s">
        <v>23</v>
      </c>
      <c r="F1680" t="s">
        <v>44</v>
      </c>
      <c r="G1680">
        <v>2009</v>
      </c>
      <c r="H1680" t="s">
        <v>1223</v>
      </c>
      <c r="K1680" t="s">
        <v>25</v>
      </c>
      <c r="L1680" t="s">
        <v>30</v>
      </c>
      <c r="M1680" t="b">
        <v>1</v>
      </c>
      <c r="N1680" t="s">
        <v>3621</v>
      </c>
      <c r="P1680" t="s">
        <v>3622</v>
      </c>
      <c r="Q1680" t="b">
        <v>0</v>
      </c>
      <c r="S1680" t="str">
        <f>"9780310715405"</f>
        <v>9780310715405</v>
      </c>
      <c r="T1680" t="str">
        <f>"9780310578475"</f>
        <v>9780310578475</v>
      </c>
      <c r="U1680" t="b">
        <v>0</v>
      </c>
      <c r="W1680" t="b">
        <v>0</v>
      </c>
    </row>
    <row r="1681" spans="1:23" x14ac:dyDescent="0.3">
      <c r="A1681">
        <v>2981131</v>
      </c>
      <c r="B1681">
        <v>42.61</v>
      </c>
      <c r="C1681" t="s">
        <v>3751</v>
      </c>
      <c r="D1681" t="s">
        <v>3752</v>
      </c>
      <c r="E1681" t="s">
        <v>23</v>
      </c>
      <c r="F1681" t="s">
        <v>44</v>
      </c>
      <c r="G1681">
        <v>2019</v>
      </c>
      <c r="H1681" t="s">
        <v>58</v>
      </c>
      <c r="K1681" t="s">
        <v>25</v>
      </c>
      <c r="L1681" t="s">
        <v>26</v>
      </c>
      <c r="M1681" t="b">
        <v>1</v>
      </c>
      <c r="N1681" t="s">
        <v>44</v>
      </c>
      <c r="Q1681" t="b">
        <v>0</v>
      </c>
      <c r="S1681" t="str">
        <f>"9780310453871"</f>
        <v>9780310453871</v>
      </c>
      <c r="T1681" t="str">
        <f>"9780310453888"</f>
        <v>9780310453888</v>
      </c>
      <c r="U1681" t="b">
        <v>0</v>
      </c>
      <c r="W1681" t="b">
        <v>0</v>
      </c>
    </row>
    <row r="1682" spans="1:23" x14ac:dyDescent="0.3">
      <c r="A1682">
        <v>2981130</v>
      </c>
      <c r="B1682">
        <v>68.97</v>
      </c>
      <c r="C1682" t="s">
        <v>3753</v>
      </c>
      <c r="D1682" t="s">
        <v>3754</v>
      </c>
      <c r="E1682" t="s">
        <v>23</v>
      </c>
      <c r="F1682" t="s">
        <v>44</v>
      </c>
      <c r="G1682">
        <v>2012</v>
      </c>
      <c r="H1682" t="s">
        <v>58</v>
      </c>
      <c r="I1682" t="s">
        <v>3383</v>
      </c>
      <c r="J1682" t="s">
        <v>3755</v>
      </c>
      <c r="K1682" t="s">
        <v>25</v>
      </c>
      <c r="L1682" t="s">
        <v>30</v>
      </c>
      <c r="M1682" t="b">
        <v>1</v>
      </c>
      <c r="N1682" t="s">
        <v>973</v>
      </c>
      <c r="O1682" t="str">
        <f>"248.4"</f>
        <v>248.4</v>
      </c>
      <c r="Q1682" t="b">
        <v>0</v>
      </c>
      <c r="S1682" t="str">
        <f>"9780310243250"</f>
        <v>9780310243250</v>
      </c>
      <c r="T1682" t="str">
        <f>"9780310411918"</f>
        <v>9780310411918</v>
      </c>
      <c r="U1682" t="b">
        <v>0</v>
      </c>
      <c r="W1682" t="b">
        <v>0</v>
      </c>
    </row>
    <row r="1683" spans="1:23" x14ac:dyDescent="0.3">
      <c r="A1683">
        <v>2981129</v>
      </c>
      <c r="B1683">
        <v>42.61</v>
      </c>
      <c r="C1683" t="s">
        <v>3756</v>
      </c>
      <c r="D1683" t="s">
        <v>3757</v>
      </c>
      <c r="E1683" t="s">
        <v>23</v>
      </c>
      <c r="F1683" t="s">
        <v>44</v>
      </c>
      <c r="G1683">
        <v>2009</v>
      </c>
      <c r="H1683" t="s">
        <v>58</v>
      </c>
      <c r="K1683" t="s">
        <v>25</v>
      </c>
      <c r="L1683" t="s">
        <v>30</v>
      </c>
      <c r="M1683" t="b">
        <v>1</v>
      </c>
      <c r="N1683" t="s">
        <v>2641</v>
      </c>
      <c r="Q1683" t="b">
        <v>0</v>
      </c>
      <c r="T1683" t="str">
        <f>"9780310866268"</f>
        <v>9780310866268</v>
      </c>
      <c r="U1683" t="b">
        <v>0</v>
      </c>
      <c r="W1683" t="b">
        <v>0</v>
      </c>
    </row>
    <row r="1684" spans="1:23" x14ac:dyDescent="0.3">
      <c r="A1684">
        <v>2981128</v>
      </c>
      <c r="B1684">
        <v>62.07</v>
      </c>
      <c r="C1684" t="s">
        <v>3758</v>
      </c>
      <c r="D1684" t="s">
        <v>3759</v>
      </c>
      <c r="E1684" t="s">
        <v>23</v>
      </c>
      <c r="F1684" t="s">
        <v>44</v>
      </c>
      <c r="G1684">
        <v>2014</v>
      </c>
      <c r="H1684" t="s">
        <v>1215</v>
      </c>
      <c r="K1684" t="s">
        <v>25</v>
      </c>
      <c r="L1684" t="s">
        <v>30</v>
      </c>
      <c r="M1684" t="b">
        <v>1</v>
      </c>
      <c r="N1684" t="s">
        <v>3760</v>
      </c>
      <c r="Q1684" t="b">
        <v>0</v>
      </c>
      <c r="S1684" t="str">
        <f>"9780310338130"</f>
        <v>9780310338130</v>
      </c>
      <c r="T1684" t="str">
        <f>"9780310338147"</f>
        <v>9780310338147</v>
      </c>
      <c r="U1684" t="b">
        <v>0</v>
      </c>
      <c r="W1684" t="b">
        <v>0</v>
      </c>
    </row>
    <row r="1685" spans="1:23" x14ac:dyDescent="0.3">
      <c r="A1685">
        <v>2981127</v>
      </c>
      <c r="B1685">
        <v>51.72</v>
      </c>
      <c r="C1685" t="s">
        <v>3761</v>
      </c>
      <c r="E1685" t="s">
        <v>23</v>
      </c>
      <c r="F1685" t="s">
        <v>44</v>
      </c>
      <c r="G1685">
        <v>2009</v>
      </c>
      <c r="H1685" t="s">
        <v>119</v>
      </c>
      <c r="K1685" t="s">
        <v>25</v>
      </c>
      <c r="L1685" t="s">
        <v>30</v>
      </c>
      <c r="M1685" t="b">
        <v>1</v>
      </c>
      <c r="N1685" t="s">
        <v>3762</v>
      </c>
      <c r="Q1685" t="b">
        <v>0</v>
      </c>
      <c r="S1685" t="str">
        <f>"9780310257578"</f>
        <v>9780310257578</v>
      </c>
      <c r="T1685" t="str">
        <f>"9780310866145"</f>
        <v>9780310866145</v>
      </c>
      <c r="U1685" t="b">
        <v>0</v>
      </c>
      <c r="W1685" t="b">
        <v>0</v>
      </c>
    </row>
    <row r="1686" spans="1:23" x14ac:dyDescent="0.3">
      <c r="A1686">
        <v>2981126</v>
      </c>
      <c r="B1686">
        <v>55.17</v>
      </c>
      <c r="C1686" t="s">
        <v>3763</v>
      </c>
      <c r="E1686" t="s">
        <v>23</v>
      </c>
      <c r="F1686" t="s">
        <v>44</v>
      </c>
      <c r="G1686">
        <v>2009</v>
      </c>
      <c r="H1686" t="s">
        <v>66</v>
      </c>
      <c r="K1686" t="s">
        <v>25</v>
      </c>
      <c r="L1686" t="s">
        <v>30</v>
      </c>
      <c r="M1686" t="b">
        <v>1</v>
      </c>
      <c r="N1686" t="s">
        <v>2686</v>
      </c>
      <c r="P1686" t="s">
        <v>3231</v>
      </c>
      <c r="Q1686" t="b">
        <v>1</v>
      </c>
      <c r="S1686" t="str">
        <f>"9780310279532"</f>
        <v>9780310279532</v>
      </c>
      <c r="T1686" t="str">
        <f>"9780310865551"</f>
        <v>9780310865551</v>
      </c>
      <c r="U1686" t="b">
        <v>0</v>
      </c>
      <c r="W1686" t="b">
        <v>0</v>
      </c>
    </row>
    <row r="1687" spans="1:23" x14ac:dyDescent="0.3">
      <c r="A1687">
        <v>2981125</v>
      </c>
      <c r="B1687">
        <v>55.17</v>
      </c>
      <c r="C1687" t="s">
        <v>3764</v>
      </c>
      <c r="D1687" t="s">
        <v>3765</v>
      </c>
      <c r="E1687" t="s">
        <v>23</v>
      </c>
      <c r="F1687" t="s">
        <v>44</v>
      </c>
      <c r="G1687">
        <v>2014</v>
      </c>
      <c r="H1687" t="s">
        <v>1234</v>
      </c>
      <c r="K1687" t="s">
        <v>25</v>
      </c>
      <c r="L1687" t="s">
        <v>30</v>
      </c>
      <c r="M1687" t="b">
        <v>1</v>
      </c>
      <c r="N1687" t="s">
        <v>3766</v>
      </c>
      <c r="Q1687" t="b">
        <v>0</v>
      </c>
      <c r="S1687" t="str">
        <f>"9780310339366"</f>
        <v>9780310339366</v>
      </c>
      <c r="T1687" t="str">
        <f>"9780310339380"</f>
        <v>9780310339380</v>
      </c>
      <c r="U1687" t="b">
        <v>0</v>
      </c>
      <c r="W1687" t="b">
        <v>0</v>
      </c>
    </row>
    <row r="1688" spans="1:23" x14ac:dyDescent="0.3">
      <c r="A1688">
        <v>2981124</v>
      </c>
      <c r="B1688">
        <v>37.92</v>
      </c>
      <c r="C1688" t="s">
        <v>3767</v>
      </c>
      <c r="D1688" t="s">
        <v>3768</v>
      </c>
      <c r="E1688" t="s">
        <v>23</v>
      </c>
      <c r="F1688" t="s">
        <v>44</v>
      </c>
      <c r="G1688">
        <v>2010</v>
      </c>
      <c r="H1688" t="s">
        <v>89</v>
      </c>
      <c r="K1688" t="s">
        <v>25</v>
      </c>
      <c r="L1688" t="s">
        <v>30</v>
      </c>
      <c r="M1688" t="b">
        <v>1</v>
      </c>
      <c r="N1688" t="s">
        <v>3769</v>
      </c>
      <c r="Q1688" t="b">
        <v>0</v>
      </c>
      <c r="S1688" t="str">
        <f>"9780310249795"</f>
        <v>9780310249795</v>
      </c>
      <c r="T1688" t="str">
        <f>"9780310871811"</f>
        <v>9780310871811</v>
      </c>
      <c r="U1688" t="b">
        <v>0</v>
      </c>
      <c r="W1688" t="b">
        <v>0</v>
      </c>
    </row>
    <row r="1689" spans="1:23" x14ac:dyDescent="0.3">
      <c r="A1689">
        <v>2981122</v>
      </c>
      <c r="B1689">
        <v>80.97</v>
      </c>
      <c r="C1689" t="s">
        <v>3770</v>
      </c>
      <c r="D1689" t="s">
        <v>3771</v>
      </c>
      <c r="E1689" t="s">
        <v>23</v>
      </c>
      <c r="F1689" t="s">
        <v>44</v>
      </c>
      <c r="G1689">
        <v>2013</v>
      </c>
      <c r="H1689" t="s">
        <v>2702</v>
      </c>
      <c r="K1689" t="s">
        <v>25</v>
      </c>
      <c r="L1689" t="s">
        <v>30</v>
      </c>
      <c r="M1689" t="b">
        <v>1</v>
      </c>
      <c r="N1689" t="s">
        <v>3772</v>
      </c>
      <c r="Q1689" t="b">
        <v>0</v>
      </c>
      <c r="T1689" t="str">
        <f>"9780310516927"</f>
        <v>9780310516927</v>
      </c>
      <c r="U1689" t="b">
        <v>0</v>
      </c>
      <c r="W1689" t="b">
        <v>0</v>
      </c>
    </row>
    <row r="1690" spans="1:23" x14ac:dyDescent="0.3">
      <c r="A1690">
        <v>2981121</v>
      </c>
      <c r="B1690">
        <v>62.07</v>
      </c>
      <c r="C1690" t="s">
        <v>3773</v>
      </c>
      <c r="D1690" t="s">
        <v>3774</v>
      </c>
      <c r="E1690" t="s">
        <v>23</v>
      </c>
      <c r="F1690" t="s">
        <v>44</v>
      </c>
      <c r="G1690">
        <v>2019</v>
      </c>
      <c r="H1690" t="s">
        <v>1215</v>
      </c>
      <c r="K1690" t="s">
        <v>25</v>
      </c>
      <c r="L1690" t="s">
        <v>26</v>
      </c>
      <c r="M1690" t="b">
        <v>1</v>
      </c>
      <c r="N1690" t="s">
        <v>3775</v>
      </c>
      <c r="Q1690" t="b">
        <v>0</v>
      </c>
      <c r="S1690" t="str">
        <f>"9780310354970"</f>
        <v>9780310354970</v>
      </c>
      <c r="T1690" t="str">
        <f>"9780310354987"</f>
        <v>9780310354987</v>
      </c>
      <c r="U1690" t="b">
        <v>0</v>
      </c>
      <c r="W1690" t="b">
        <v>0</v>
      </c>
    </row>
    <row r="1691" spans="1:23" x14ac:dyDescent="0.3">
      <c r="A1691">
        <v>2981120</v>
      </c>
      <c r="B1691">
        <v>58.62</v>
      </c>
      <c r="C1691" t="s">
        <v>3776</v>
      </c>
      <c r="D1691" t="s">
        <v>3777</v>
      </c>
      <c r="E1691" t="s">
        <v>23</v>
      </c>
      <c r="F1691" t="s">
        <v>44</v>
      </c>
      <c r="G1691">
        <v>2016</v>
      </c>
      <c r="H1691" t="s">
        <v>89</v>
      </c>
      <c r="K1691" t="s">
        <v>25</v>
      </c>
      <c r="L1691" t="s">
        <v>26</v>
      </c>
      <c r="M1691" t="b">
        <v>1</v>
      </c>
      <c r="N1691" t="s">
        <v>3778</v>
      </c>
      <c r="Q1691" t="b">
        <v>0</v>
      </c>
      <c r="S1691" t="str">
        <f>"9780310342144"</f>
        <v>9780310342144</v>
      </c>
      <c r="T1691" t="str">
        <f>"9780310342168"</f>
        <v>9780310342168</v>
      </c>
      <c r="U1691" t="b">
        <v>0</v>
      </c>
      <c r="W1691" t="b">
        <v>0</v>
      </c>
    </row>
    <row r="1692" spans="1:23" x14ac:dyDescent="0.3">
      <c r="A1692">
        <v>2981119</v>
      </c>
      <c r="B1692">
        <v>79.319999999999993</v>
      </c>
      <c r="C1692" t="s">
        <v>3779</v>
      </c>
      <c r="D1692" t="s">
        <v>3780</v>
      </c>
      <c r="E1692" t="s">
        <v>23</v>
      </c>
      <c r="F1692" t="s">
        <v>44</v>
      </c>
      <c r="G1692">
        <v>2018</v>
      </c>
      <c r="H1692" t="s">
        <v>1076</v>
      </c>
      <c r="K1692" t="s">
        <v>25</v>
      </c>
      <c r="L1692" t="s">
        <v>26</v>
      </c>
      <c r="M1692" t="b">
        <v>1</v>
      </c>
      <c r="N1692" t="s">
        <v>3781</v>
      </c>
      <c r="Q1692" t="b">
        <v>0</v>
      </c>
      <c r="S1692" t="str">
        <f>"9780310352921"</f>
        <v>9780310352921</v>
      </c>
      <c r="T1692" t="str">
        <f>"9780310352938"</f>
        <v>9780310352938</v>
      </c>
      <c r="U1692" t="b">
        <v>0</v>
      </c>
      <c r="W1692" t="b">
        <v>0</v>
      </c>
    </row>
    <row r="1693" spans="1:23" x14ac:dyDescent="0.3">
      <c r="A1693">
        <v>2981118</v>
      </c>
      <c r="B1693">
        <v>28.39</v>
      </c>
      <c r="C1693" t="s">
        <v>3782</v>
      </c>
      <c r="E1693" t="s">
        <v>23</v>
      </c>
      <c r="F1693" t="s">
        <v>44</v>
      </c>
      <c r="G1693">
        <v>2009</v>
      </c>
      <c r="H1693" t="s">
        <v>714</v>
      </c>
      <c r="K1693" t="s">
        <v>25</v>
      </c>
      <c r="L1693" t="s">
        <v>30</v>
      </c>
      <c r="M1693" t="b">
        <v>1</v>
      </c>
      <c r="N1693" t="s">
        <v>408</v>
      </c>
      <c r="P1693" t="s">
        <v>3599</v>
      </c>
      <c r="Q1693" t="b">
        <v>1</v>
      </c>
      <c r="T1693" t="str">
        <f>"9780310862888"</f>
        <v>9780310862888</v>
      </c>
      <c r="U1693" t="b">
        <v>0</v>
      </c>
      <c r="W1693" t="b">
        <v>0</v>
      </c>
    </row>
    <row r="1694" spans="1:23" x14ac:dyDescent="0.3">
      <c r="A1694">
        <v>2981117</v>
      </c>
      <c r="B1694">
        <v>86.22</v>
      </c>
      <c r="C1694" t="s">
        <v>3783</v>
      </c>
      <c r="D1694" t="s">
        <v>3784</v>
      </c>
      <c r="E1694" t="s">
        <v>23</v>
      </c>
      <c r="F1694" t="s">
        <v>44</v>
      </c>
      <c r="G1694">
        <v>2019</v>
      </c>
      <c r="H1694" t="s">
        <v>738</v>
      </c>
      <c r="K1694" t="s">
        <v>25</v>
      </c>
      <c r="L1694" t="s">
        <v>26</v>
      </c>
      <c r="M1694" t="b">
        <v>1</v>
      </c>
      <c r="N1694" t="s">
        <v>3785</v>
      </c>
      <c r="Q1694" t="b">
        <v>0</v>
      </c>
      <c r="S1694" t="str">
        <f>"9780310356028"</f>
        <v>9780310356028</v>
      </c>
      <c r="T1694" t="str">
        <f>"9780310356110"</f>
        <v>9780310356110</v>
      </c>
      <c r="U1694" t="b">
        <v>0</v>
      </c>
      <c r="W1694" t="b">
        <v>0</v>
      </c>
    </row>
    <row r="1695" spans="1:23" x14ac:dyDescent="0.3">
      <c r="A1695">
        <v>2981116</v>
      </c>
      <c r="B1695">
        <v>55.17</v>
      </c>
      <c r="C1695" t="s">
        <v>3786</v>
      </c>
      <c r="D1695" t="s">
        <v>3787</v>
      </c>
      <c r="E1695" t="s">
        <v>23</v>
      </c>
      <c r="F1695" t="s">
        <v>44</v>
      </c>
      <c r="G1695">
        <v>2014</v>
      </c>
      <c r="H1695" t="s">
        <v>68</v>
      </c>
      <c r="K1695" t="s">
        <v>25</v>
      </c>
      <c r="L1695" t="s">
        <v>30</v>
      </c>
      <c r="M1695" t="b">
        <v>1</v>
      </c>
      <c r="N1695" t="s">
        <v>3788</v>
      </c>
      <c r="Q1695" t="b">
        <v>0</v>
      </c>
      <c r="S1695" t="str">
        <f>"9780310293347"</f>
        <v>9780310293347</v>
      </c>
      <c r="T1695" t="str">
        <f>"9780310339076"</f>
        <v>9780310339076</v>
      </c>
      <c r="U1695" t="b">
        <v>0</v>
      </c>
      <c r="W1695" t="b">
        <v>0</v>
      </c>
    </row>
    <row r="1696" spans="1:23" x14ac:dyDescent="0.3">
      <c r="A1696">
        <v>2981115</v>
      </c>
      <c r="B1696">
        <v>58.62</v>
      </c>
      <c r="C1696" t="s">
        <v>3789</v>
      </c>
      <c r="E1696" t="s">
        <v>23</v>
      </c>
      <c r="F1696" t="s">
        <v>44</v>
      </c>
      <c r="G1696">
        <v>2010</v>
      </c>
      <c r="H1696" t="s">
        <v>56</v>
      </c>
      <c r="K1696" t="s">
        <v>25</v>
      </c>
      <c r="L1696" t="s">
        <v>30</v>
      </c>
      <c r="M1696" t="b">
        <v>1</v>
      </c>
      <c r="N1696" t="s">
        <v>83</v>
      </c>
      <c r="Q1696" t="b">
        <v>0</v>
      </c>
      <c r="S1696" t="str">
        <f>"9780310284741"</f>
        <v>9780310284741</v>
      </c>
      <c r="T1696" t="str">
        <f>"9780310412861"</f>
        <v>9780310412861</v>
      </c>
      <c r="U1696" t="b">
        <v>0</v>
      </c>
      <c r="W1696" t="b">
        <v>0</v>
      </c>
    </row>
    <row r="1697" spans="1:23" x14ac:dyDescent="0.3">
      <c r="A1697">
        <v>2981114</v>
      </c>
      <c r="B1697">
        <v>44.82</v>
      </c>
      <c r="C1697" t="s">
        <v>3790</v>
      </c>
      <c r="D1697" t="s">
        <v>3791</v>
      </c>
      <c r="E1697" t="s">
        <v>23</v>
      </c>
      <c r="F1697" t="s">
        <v>44</v>
      </c>
      <c r="G1697">
        <v>2009</v>
      </c>
      <c r="H1697" t="s">
        <v>728</v>
      </c>
      <c r="K1697" t="s">
        <v>25</v>
      </c>
      <c r="L1697" t="s">
        <v>30</v>
      </c>
      <c r="M1697" t="b">
        <v>1</v>
      </c>
      <c r="N1697" t="s">
        <v>3066</v>
      </c>
      <c r="P1697" t="s">
        <v>3412</v>
      </c>
      <c r="Q1697" t="b">
        <v>1</v>
      </c>
      <c r="S1697" t="str">
        <f>"9780310202097"</f>
        <v>9780310202097</v>
      </c>
      <c r="T1697" t="str">
        <f>"9780310829904"</f>
        <v>9780310829904</v>
      </c>
      <c r="U1697" t="b">
        <v>0</v>
      </c>
      <c r="W1697" t="b">
        <v>0</v>
      </c>
    </row>
    <row r="1698" spans="1:23" x14ac:dyDescent="0.3">
      <c r="A1698">
        <v>2981113</v>
      </c>
      <c r="B1698">
        <v>62.07</v>
      </c>
      <c r="C1698" t="s">
        <v>3792</v>
      </c>
      <c r="D1698" t="s">
        <v>3793</v>
      </c>
      <c r="E1698" t="s">
        <v>23</v>
      </c>
      <c r="F1698" t="s">
        <v>44</v>
      </c>
      <c r="G1698">
        <v>2010</v>
      </c>
      <c r="H1698" t="s">
        <v>58</v>
      </c>
      <c r="K1698" t="s">
        <v>25</v>
      </c>
      <c r="L1698" t="s">
        <v>30</v>
      </c>
      <c r="M1698" t="b">
        <v>1</v>
      </c>
      <c r="N1698" t="s">
        <v>3794</v>
      </c>
      <c r="Q1698" t="b">
        <v>0</v>
      </c>
      <c r="S1698" t="str">
        <f>"9780310293651"</f>
        <v>9780310293651</v>
      </c>
      <c r="T1698" t="str">
        <f>"9780310413295"</f>
        <v>9780310413295</v>
      </c>
      <c r="U1698" t="b">
        <v>0</v>
      </c>
      <c r="W1698" t="b">
        <v>0</v>
      </c>
    </row>
    <row r="1699" spans="1:23" x14ac:dyDescent="0.3">
      <c r="A1699">
        <v>2981112</v>
      </c>
      <c r="B1699">
        <v>42.61</v>
      </c>
      <c r="C1699" t="s">
        <v>1392</v>
      </c>
      <c r="D1699" t="s">
        <v>3795</v>
      </c>
      <c r="E1699" t="s">
        <v>23</v>
      </c>
      <c r="F1699" t="s">
        <v>44</v>
      </c>
      <c r="G1699">
        <v>2010</v>
      </c>
      <c r="H1699" t="s">
        <v>141</v>
      </c>
      <c r="K1699" t="s">
        <v>25</v>
      </c>
      <c r="L1699" t="s">
        <v>30</v>
      </c>
      <c r="M1699" t="b">
        <v>1</v>
      </c>
      <c r="N1699" t="s">
        <v>3796</v>
      </c>
      <c r="Q1699" t="b">
        <v>0</v>
      </c>
      <c r="T1699" t="str">
        <f>"9780310597360"</f>
        <v>9780310597360</v>
      </c>
      <c r="U1699" t="b">
        <v>0</v>
      </c>
      <c r="W1699" t="b">
        <v>0</v>
      </c>
    </row>
    <row r="1700" spans="1:23" x14ac:dyDescent="0.3">
      <c r="A1700">
        <v>2981111</v>
      </c>
      <c r="B1700">
        <v>113.68</v>
      </c>
      <c r="C1700" t="s">
        <v>3797</v>
      </c>
      <c r="D1700" t="s">
        <v>3798</v>
      </c>
      <c r="E1700" t="s">
        <v>23</v>
      </c>
      <c r="F1700" t="s">
        <v>44</v>
      </c>
      <c r="G1700">
        <v>2019</v>
      </c>
      <c r="H1700" t="s">
        <v>772</v>
      </c>
      <c r="K1700" t="s">
        <v>25</v>
      </c>
      <c r="L1700" t="s">
        <v>30</v>
      </c>
      <c r="M1700" t="b">
        <v>1</v>
      </c>
      <c r="N1700" t="s">
        <v>776</v>
      </c>
      <c r="P1700" t="s">
        <v>3644</v>
      </c>
      <c r="Q1700" t="b">
        <v>1</v>
      </c>
      <c r="T1700" t="str">
        <f>"9780310357872"</f>
        <v>9780310357872</v>
      </c>
      <c r="U1700" t="b">
        <v>0</v>
      </c>
      <c r="W1700" t="b">
        <v>0</v>
      </c>
    </row>
    <row r="1701" spans="1:23" x14ac:dyDescent="0.3">
      <c r="A1701">
        <v>2981110</v>
      </c>
      <c r="B1701">
        <v>46.16</v>
      </c>
      <c r="C1701" t="s">
        <v>3799</v>
      </c>
      <c r="D1701" t="s">
        <v>3800</v>
      </c>
      <c r="E1701" t="s">
        <v>23</v>
      </c>
      <c r="F1701" t="s">
        <v>44</v>
      </c>
      <c r="G1701">
        <v>2017</v>
      </c>
      <c r="H1701" t="s">
        <v>70</v>
      </c>
      <c r="K1701" t="s">
        <v>25</v>
      </c>
      <c r="L1701" t="s">
        <v>26</v>
      </c>
      <c r="M1701" t="b">
        <v>1</v>
      </c>
      <c r="N1701" t="s">
        <v>915</v>
      </c>
      <c r="P1701" t="s">
        <v>978</v>
      </c>
      <c r="Q1701" t="b">
        <v>0</v>
      </c>
      <c r="T1701" t="str">
        <f>"9780310350590"</f>
        <v>9780310350590</v>
      </c>
      <c r="U1701" t="b">
        <v>0</v>
      </c>
      <c r="W1701" t="b">
        <v>0</v>
      </c>
    </row>
    <row r="1702" spans="1:23" x14ac:dyDescent="0.3">
      <c r="A1702">
        <v>2981109</v>
      </c>
      <c r="B1702">
        <v>58.62</v>
      </c>
      <c r="C1702" t="s">
        <v>3801</v>
      </c>
      <c r="D1702" t="s">
        <v>3802</v>
      </c>
      <c r="E1702" t="s">
        <v>23</v>
      </c>
      <c r="F1702" t="s">
        <v>44</v>
      </c>
      <c r="G1702">
        <v>2016</v>
      </c>
      <c r="H1702" t="s">
        <v>69</v>
      </c>
      <c r="K1702" t="s">
        <v>25</v>
      </c>
      <c r="L1702" t="s">
        <v>26</v>
      </c>
      <c r="M1702" t="b">
        <v>1</v>
      </c>
      <c r="N1702" t="s">
        <v>3803</v>
      </c>
      <c r="Q1702" t="b">
        <v>0</v>
      </c>
      <c r="S1702" t="str">
        <f>"9780310342663"</f>
        <v>9780310342663</v>
      </c>
      <c r="T1702" t="str">
        <f>"9780310342748"</f>
        <v>9780310342748</v>
      </c>
      <c r="U1702" t="b">
        <v>0</v>
      </c>
      <c r="W1702" t="b">
        <v>0</v>
      </c>
    </row>
    <row r="1703" spans="1:23" x14ac:dyDescent="0.3">
      <c r="A1703">
        <v>2981108</v>
      </c>
      <c r="B1703">
        <v>51.72</v>
      </c>
      <c r="C1703" t="s">
        <v>3804</v>
      </c>
      <c r="D1703" t="s">
        <v>1405</v>
      </c>
      <c r="E1703" t="s">
        <v>23</v>
      </c>
      <c r="F1703" t="s">
        <v>44</v>
      </c>
      <c r="G1703">
        <v>2010</v>
      </c>
      <c r="H1703" t="s">
        <v>890</v>
      </c>
      <c r="K1703" t="s">
        <v>25</v>
      </c>
      <c r="L1703" t="s">
        <v>30</v>
      </c>
      <c r="M1703" t="b">
        <v>1</v>
      </c>
      <c r="N1703" t="s">
        <v>3805</v>
      </c>
      <c r="P1703" t="s">
        <v>3806</v>
      </c>
      <c r="Q1703" t="b">
        <v>1</v>
      </c>
      <c r="S1703" t="str">
        <f>"9780310293699"</f>
        <v>9780310293699</v>
      </c>
      <c r="T1703" t="str">
        <f>"9780310395768"</f>
        <v>9780310395768</v>
      </c>
      <c r="U1703" t="b">
        <v>0</v>
      </c>
      <c r="W1703" t="b">
        <v>0</v>
      </c>
    </row>
    <row r="1704" spans="1:23" x14ac:dyDescent="0.3">
      <c r="A1704">
        <v>2981107</v>
      </c>
      <c r="B1704">
        <v>28.39</v>
      </c>
      <c r="C1704" t="s">
        <v>3807</v>
      </c>
      <c r="E1704" t="s">
        <v>23</v>
      </c>
      <c r="F1704" t="s">
        <v>44</v>
      </c>
      <c r="G1704">
        <v>2009</v>
      </c>
      <c r="H1704" t="s">
        <v>3598</v>
      </c>
      <c r="K1704" t="s">
        <v>25</v>
      </c>
      <c r="L1704" t="s">
        <v>30</v>
      </c>
      <c r="M1704" t="b">
        <v>1</v>
      </c>
      <c r="N1704" t="s">
        <v>408</v>
      </c>
      <c r="P1704" t="s">
        <v>3599</v>
      </c>
      <c r="Q1704" t="b">
        <v>0</v>
      </c>
      <c r="T1704" t="str">
        <f>"9780310855507"</f>
        <v>9780310855507</v>
      </c>
      <c r="U1704" t="b">
        <v>0</v>
      </c>
      <c r="W1704" t="b">
        <v>0</v>
      </c>
    </row>
    <row r="1705" spans="1:23" x14ac:dyDescent="0.3">
      <c r="A1705">
        <v>2981106</v>
      </c>
      <c r="B1705">
        <v>51.72</v>
      </c>
      <c r="C1705" t="s">
        <v>3808</v>
      </c>
      <c r="E1705" t="s">
        <v>23</v>
      </c>
      <c r="F1705" t="s">
        <v>44</v>
      </c>
      <c r="G1705">
        <v>2009</v>
      </c>
      <c r="H1705" t="s">
        <v>66</v>
      </c>
      <c r="K1705" t="s">
        <v>25</v>
      </c>
      <c r="M1705" t="b">
        <v>1</v>
      </c>
      <c r="N1705" t="s">
        <v>31</v>
      </c>
      <c r="P1705" t="s">
        <v>2729</v>
      </c>
      <c r="Q1705" t="b">
        <v>1</v>
      </c>
      <c r="S1705" t="str">
        <f>"9780310606512"</f>
        <v>9780310606512</v>
      </c>
      <c r="T1705" t="str">
        <f>"9780310866619"</f>
        <v>9780310866619</v>
      </c>
      <c r="U1705" t="b">
        <v>0</v>
      </c>
      <c r="W1705" t="b">
        <v>0</v>
      </c>
    </row>
    <row r="1706" spans="1:23" x14ac:dyDescent="0.3">
      <c r="A1706">
        <v>2981105</v>
      </c>
      <c r="B1706">
        <v>39.049999999999997</v>
      </c>
      <c r="C1706" t="s">
        <v>3809</v>
      </c>
      <c r="E1706" t="s">
        <v>23</v>
      </c>
      <c r="F1706" t="s">
        <v>44</v>
      </c>
      <c r="G1706">
        <v>2009</v>
      </c>
      <c r="H1706" t="s">
        <v>62</v>
      </c>
      <c r="K1706" t="s">
        <v>25</v>
      </c>
      <c r="L1706" t="s">
        <v>30</v>
      </c>
      <c r="M1706" t="b">
        <v>1</v>
      </c>
      <c r="N1706" t="s">
        <v>2686</v>
      </c>
      <c r="Q1706" t="b">
        <v>0</v>
      </c>
      <c r="T1706" t="str">
        <f>"9780310862550"</f>
        <v>9780310862550</v>
      </c>
      <c r="U1706" t="b">
        <v>0</v>
      </c>
      <c r="W1706" t="b">
        <v>0</v>
      </c>
    </row>
    <row r="1707" spans="1:23" x14ac:dyDescent="0.3">
      <c r="A1707">
        <v>2981104</v>
      </c>
      <c r="B1707">
        <v>55.17</v>
      </c>
      <c r="C1707" t="s">
        <v>3810</v>
      </c>
      <c r="E1707" t="s">
        <v>23</v>
      </c>
      <c r="F1707" t="s">
        <v>44</v>
      </c>
      <c r="G1707">
        <v>2015</v>
      </c>
      <c r="H1707" t="s">
        <v>772</v>
      </c>
      <c r="K1707" t="s">
        <v>25</v>
      </c>
      <c r="L1707" t="s">
        <v>30</v>
      </c>
      <c r="M1707" t="b">
        <v>1</v>
      </c>
      <c r="N1707" t="s">
        <v>962</v>
      </c>
      <c r="P1707" t="s">
        <v>3811</v>
      </c>
      <c r="Q1707" t="b">
        <v>1</v>
      </c>
      <c r="S1707" t="str">
        <f>"9780310322177"</f>
        <v>9780310322177</v>
      </c>
      <c r="T1707" t="str">
        <f>"9780310325086"</f>
        <v>9780310325086</v>
      </c>
      <c r="U1707" t="b">
        <v>0</v>
      </c>
      <c r="W1707" t="b">
        <v>0</v>
      </c>
    </row>
    <row r="1708" spans="1:23" x14ac:dyDescent="0.3">
      <c r="A1708">
        <v>2981103</v>
      </c>
      <c r="B1708">
        <v>44.82</v>
      </c>
      <c r="C1708" t="s">
        <v>3812</v>
      </c>
      <c r="D1708" t="s">
        <v>1405</v>
      </c>
      <c r="E1708" t="s">
        <v>23</v>
      </c>
      <c r="F1708" t="s">
        <v>44</v>
      </c>
      <c r="G1708">
        <v>2011</v>
      </c>
      <c r="H1708" t="s">
        <v>66</v>
      </c>
      <c r="K1708" t="s">
        <v>25</v>
      </c>
      <c r="L1708" t="s">
        <v>30</v>
      </c>
      <c r="M1708" t="b">
        <v>1</v>
      </c>
      <c r="N1708" t="s">
        <v>2682</v>
      </c>
      <c r="P1708" t="s">
        <v>3812</v>
      </c>
      <c r="Q1708" t="b">
        <v>1</v>
      </c>
      <c r="S1708" t="str">
        <f>"9780310320333"</f>
        <v>9780310320333</v>
      </c>
      <c r="T1708" t="str">
        <f>"9780310412762"</f>
        <v>9780310412762</v>
      </c>
      <c r="U1708" t="b">
        <v>0</v>
      </c>
      <c r="W1708" t="b">
        <v>0</v>
      </c>
    </row>
    <row r="1709" spans="1:23" x14ac:dyDescent="0.3">
      <c r="A1709">
        <v>2981102</v>
      </c>
      <c r="B1709">
        <v>42.61</v>
      </c>
      <c r="C1709" t="s">
        <v>3813</v>
      </c>
      <c r="E1709" t="s">
        <v>23</v>
      </c>
      <c r="F1709" t="s">
        <v>44</v>
      </c>
      <c r="G1709">
        <v>2009</v>
      </c>
      <c r="H1709" t="s">
        <v>69</v>
      </c>
      <c r="K1709" t="s">
        <v>25</v>
      </c>
      <c r="L1709" t="s">
        <v>30</v>
      </c>
      <c r="M1709" t="b">
        <v>1</v>
      </c>
      <c r="N1709" t="s">
        <v>3814</v>
      </c>
      <c r="Q1709" t="b">
        <v>0</v>
      </c>
      <c r="T1709" t="str">
        <f>"9780310861256"</f>
        <v>9780310861256</v>
      </c>
      <c r="U1709" t="b">
        <v>0</v>
      </c>
      <c r="W1709" t="b">
        <v>0</v>
      </c>
    </row>
    <row r="1710" spans="1:23" x14ac:dyDescent="0.3">
      <c r="A1710">
        <v>2981101</v>
      </c>
      <c r="B1710">
        <v>34.47</v>
      </c>
      <c r="C1710" t="s">
        <v>3815</v>
      </c>
      <c r="D1710" t="s">
        <v>3816</v>
      </c>
      <c r="E1710" t="s">
        <v>23</v>
      </c>
      <c r="F1710" t="s">
        <v>44</v>
      </c>
      <c r="G1710">
        <v>2012</v>
      </c>
      <c r="H1710" t="s">
        <v>531</v>
      </c>
      <c r="K1710" t="s">
        <v>25</v>
      </c>
      <c r="L1710" t="s">
        <v>30</v>
      </c>
      <c r="M1710" t="b">
        <v>1</v>
      </c>
      <c r="N1710" t="s">
        <v>1283</v>
      </c>
      <c r="Q1710" t="b">
        <v>0</v>
      </c>
      <c r="S1710" t="str">
        <f>"9780310730064"</f>
        <v>9780310730064</v>
      </c>
      <c r="T1710" t="str">
        <f>"9780310730071"</f>
        <v>9780310730071</v>
      </c>
      <c r="U1710" t="b">
        <v>0</v>
      </c>
      <c r="W1710" t="b">
        <v>0</v>
      </c>
    </row>
    <row r="1711" spans="1:23" x14ac:dyDescent="0.3">
      <c r="A1711">
        <v>2981100</v>
      </c>
      <c r="B1711">
        <v>63.93</v>
      </c>
      <c r="C1711" t="s">
        <v>3817</v>
      </c>
      <c r="E1711" t="s">
        <v>23</v>
      </c>
      <c r="F1711" t="s">
        <v>44</v>
      </c>
      <c r="G1711">
        <v>2015</v>
      </c>
      <c r="H1711" t="s">
        <v>67</v>
      </c>
      <c r="K1711" t="s">
        <v>25</v>
      </c>
      <c r="L1711" t="s">
        <v>26</v>
      </c>
      <c r="M1711" t="b">
        <v>1</v>
      </c>
      <c r="N1711" t="s">
        <v>3818</v>
      </c>
      <c r="P1711" t="s">
        <v>3819</v>
      </c>
      <c r="Q1711" t="b">
        <v>1</v>
      </c>
      <c r="S1711" t="str">
        <f>"9780310332152"</f>
        <v>9780310332152</v>
      </c>
      <c r="T1711" t="str">
        <f>"9780310332169"</f>
        <v>9780310332169</v>
      </c>
      <c r="U1711" t="b">
        <v>0</v>
      </c>
      <c r="W1711" t="b">
        <v>0</v>
      </c>
    </row>
    <row r="1712" spans="1:23" x14ac:dyDescent="0.3">
      <c r="A1712">
        <v>2981099</v>
      </c>
      <c r="B1712">
        <v>71.03</v>
      </c>
      <c r="C1712" t="s">
        <v>3820</v>
      </c>
      <c r="D1712" t="s">
        <v>3821</v>
      </c>
      <c r="E1712" t="s">
        <v>23</v>
      </c>
      <c r="F1712" t="s">
        <v>44</v>
      </c>
      <c r="G1712">
        <v>2011</v>
      </c>
      <c r="H1712" t="s">
        <v>58</v>
      </c>
      <c r="K1712" t="s">
        <v>25</v>
      </c>
      <c r="L1712" t="s">
        <v>30</v>
      </c>
      <c r="M1712" t="b">
        <v>1</v>
      </c>
      <c r="N1712" t="s">
        <v>3822</v>
      </c>
      <c r="Q1712" t="b">
        <v>0</v>
      </c>
      <c r="T1712" t="str">
        <f>"9780310416777"</f>
        <v>9780310416777</v>
      </c>
      <c r="U1712" t="b">
        <v>0</v>
      </c>
      <c r="W1712" t="b">
        <v>0</v>
      </c>
    </row>
    <row r="1713" spans="1:23" x14ac:dyDescent="0.3">
      <c r="A1713">
        <v>2981098</v>
      </c>
      <c r="B1713">
        <v>34.47</v>
      </c>
      <c r="C1713" t="s">
        <v>3823</v>
      </c>
      <c r="E1713" t="s">
        <v>23</v>
      </c>
      <c r="F1713" t="s">
        <v>44</v>
      </c>
      <c r="G1713">
        <v>2011</v>
      </c>
      <c r="H1713" t="s">
        <v>3824</v>
      </c>
      <c r="K1713" t="s">
        <v>25</v>
      </c>
      <c r="L1713" t="s">
        <v>30</v>
      </c>
      <c r="M1713" t="b">
        <v>1</v>
      </c>
      <c r="N1713" t="s">
        <v>3825</v>
      </c>
      <c r="P1713" t="s">
        <v>3826</v>
      </c>
      <c r="Q1713" t="b">
        <v>0</v>
      </c>
      <c r="S1713" t="str">
        <f>"9780310718383"</f>
        <v>9780310718383</v>
      </c>
      <c r="T1713" t="str">
        <f>"9780310404804"</f>
        <v>9780310404804</v>
      </c>
      <c r="U1713" t="b">
        <v>0</v>
      </c>
      <c r="W1713" t="b">
        <v>0</v>
      </c>
    </row>
    <row r="1714" spans="1:23" x14ac:dyDescent="0.3">
      <c r="A1714">
        <v>2981097</v>
      </c>
      <c r="B1714">
        <v>35.5</v>
      </c>
      <c r="C1714" t="s">
        <v>3827</v>
      </c>
      <c r="E1714" t="s">
        <v>23</v>
      </c>
      <c r="F1714" t="s">
        <v>44</v>
      </c>
      <c r="G1714">
        <v>2009</v>
      </c>
      <c r="H1714" t="s">
        <v>68</v>
      </c>
      <c r="K1714" t="s">
        <v>25</v>
      </c>
      <c r="L1714" t="s">
        <v>30</v>
      </c>
      <c r="M1714" t="b">
        <v>1</v>
      </c>
      <c r="N1714" t="s">
        <v>3828</v>
      </c>
      <c r="Q1714" t="b">
        <v>0</v>
      </c>
      <c r="T1714" t="str">
        <f>"9780310832188"</f>
        <v>9780310832188</v>
      </c>
      <c r="U1714" t="b">
        <v>0</v>
      </c>
      <c r="W1714" t="b">
        <v>0</v>
      </c>
    </row>
    <row r="1715" spans="1:23" x14ac:dyDescent="0.3">
      <c r="A1715">
        <v>2981096</v>
      </c>
      <c r="B1715">
        <v>65.52</v>
      </c>
      <c r="C1715" t="s">
        <v>3829</v>
      </c>
      <c r="D1715" t="s">
        <v>3830</v>
      </c>
      <c r="E1715" t="s">
        <v>23</v>
      </c>
      <c r="F1715" t="s">
        <v>44</v>
      </c>
      <c r="G1715">
        <v>2020</v>
      </c>
      <c r="H1715" t="s">
        <v>119</v>
      </c>
      <c r="K1715" t="s">
        <v>25</v>
      </c>
      <c r="L1715" t="s">
        <v>26</v>
      </c>
      <c r="M1715" t="b">
        <v>1</v>
      </c>
      <c r="N1715" t="s">
        <v>798</v>
      </c>
      <c r="Q1715" t="b">
        <v>0</v>
      </c>
      <c r="S1715" t="str">
        <f>"9780310107255"</f>
        <v>9780310107255</v>
      </c>
      <c r="T1715" t="str">
        <f>"9780310107262"</f>
        <v>9780310107262</v>
      </c>
      <c r="U1715" t="b">
        <v>0</v>
      </c>
      <c r="W1715" t="b">
        <v>0</v>
      </c>
    </row>
    <row r="1716" spans="1:23" x14ac:dyDescent="0.3">
      <c r="A1716">
        <v>2981095</v>
      </c>
      <c r="B1716">
        <v>53.27</v>
      </c>
      <c r="C1716" t="s">
        <v>3831</v>
      </c>
      <c r="D1716" t="s">
        <v>3832</v>
      </c>
      <c r="E1716" t="s">
        <v>23</v>
      </c>
      <c r="F1716" t="s">
        <v>44</v>
      </c>
      <c r="G1716">
        <v>2017</v>
      </c>
      <c r="H1716" t="s">
        <v>58</v>
      </c>
      <c r="K1716" t="s">
        <v>25</v>
      </c>
      <c r="L1716" t="s">
        <v>26</v>
      </c>
      <c r="M1716" t="b">
        <v>1</v>
      </c>
      <c r="N1716" t="s">
        <v>3430</v>
      </c>
      <c r="Q1716" t="b">
        <v>0</v>
      </c>
      <c r="T1716" t="str">
        <f>"9780310345084"</f>
        <v>9780310345084</v>
      </c>
      <c r="U1716" t="b">
        <v>0</v>
      </c>
      <c r="W1716" t="b">
        <v>0</v>
      </c>
    </row>
    <row r="1717" spans="1:23" x14ac:dyDescent="0.3">
      <c r="A1717">
        <v>2981094</v>
      </c>
      <c r="B1717">
        <v>55.17</v>
      </c>
      <c r="C1717" t="s">
        <v>3833</v>
      </c>
      <c r="E1717" t="s">
        <v>23</v>
      </c>
      <c r="F1717" t="s">
        <v>44</v>
      </c>
      <c r="G1717">
        <v>2020</v>
      </c>
      <c r="H1717" t="s">
        <v>24</v>
      </c>
      <c r="K1717" t="s">
        <v>25</v>
      </c>
      <c r="L1717" t="s">
        <v>26</v>
      </c>
      <c r="M1717" t="b">
        <v>1</v>
      </c>
      <c r="N1717" t="s">
        <v>3834</v>
      </c>
      <c r="Q1717" t="b">
        <v>0</v>
      </c>
      <c r="S1717" t="str">
        <f>"9780310248729"</f>
        <v>9780310248729</v>
      </c>
      <c r="T1717" t="str">
        <f>"9780310361565"</f>
        <v>9780310361565</v>
      </c>
      <c r="U1717" t="b">
        <v>0</v>
      </c>
      <c r="W1717" t="b">
        <v>0</v>
      </c>
    </row>
    <row r="1718" spans="1:23" x14ac:dyDescent="0.3">
      <c r="A1718">
        <v>2981093</v>
      </c>
      <c r="B1718">
        <v>34.47</v>
      </c>
      <c r="C1718" t="s">
        <v>3835</v>
      </c>
      <c r="E1718" t="s">
        <v>23</v>
      </c>
      <c r="F1718" t="s">
        <v>44</v>
      </c>
      <c r="G1718">
        <v>2009</v>
      </c>
      <c r="H1718" t="s">
        <v>2079</v>
      </c>
      <c r="K1718" t="s">
        <v>25</v>
      </c>
      <c r="L1718" t="s">
        <v>30</v>
      </c>
      <c r="M1718" t="b">
        <v>1</v>
      </c>
      <c r="N1718" t="s">
        <v>1285</v>
      </c>
      <c r="Q1718" t="b">
        <v>0</v>
      </c>
      <c r="S1718" t="str">
        <f>"9780310279266"</f>
        <v>9780310279266</v>
      </c>
      <c r="T1718" t="str">
        <f>"9780310864820"</f>
        <v>9780310864820</v>
      </c>
      <c r="U1718" t="b">
        <v>0</v>
      </c>
      <c r="W1718" t="b">
        <v>0</v>
      </c>
    </row>
    <row r="1719" spans="1:23" x14ac:dyDescent="0.3">
      <c r="A1719">
        <v>2981092</v>
      </c>
      <c r="B1719">
        <v>35.5</v>
      </c>
      <c r="C1719" t="s">
        <v>3836</v>
      </c>
      <c r="D1719" t="s">
        <v>3837</v>
      </c>
      <c r="E1719" t="s">
        <v>23</v>
      </c>
      <c r="F1719" t="s">
        <v>44</v>
      </c>
      <c r="G1719">
        <v>2009</v>
      </c>
      <c r="H1719" t="s">
        <v>132</v>
      </c>
      <c r="K1719" t="s">
        <v>25</v>
      </c>
      <c r="L1719" t="s">
        <v>30</v>
      </c>
      <c r="M1719" t="b">
        <v>1</v>
      </c>
      <c r="N1719" t="s">
        <v>3838</v>
      </c>
      <c r="Q1719" t="b">
        <v>0</v>
      </c>
      <c r="T1719" t="str">
        <f>"9780310862345"</f>
        <v>9780310862345</v>
      </c>
      <c r="U1719" t="b">
        <v>0</v>
      </c>
      <c r="W1719" t="b">
        <v>0</v>
      </c>
    </row>
    <row r="1720" spans="1:23" x14ac:dyDescent="0.3">
      <c r="A1720">
        <v>2981091</v>
      </c>
      <c r="B1720">
        <v>7.07</v>
      </c>
      <c r="C1720" t="s">
        <v>3839</v>
      </c>
      <c r="D1720" t="s">
        <v>3840</v>
      </c>
      <c r="E1720" t="s">
        <v>23</v>
      </c>
      <c r="F1720" t="s">
        <v>44</v>
      </c>
      <c r="G1720">
        <v>2016</v>
      </c>
      <c r="H1720" t="s">
        <v>58</v>
      </c>
      <c r="K1720" t="s">
        <v>25</v>
      </c>
      <c r="L1720" t="s">
        <v>26</v>
      </c>
      <c r="M1720" t="b">
        <v>1</v>
      </c>
      <c r="N1720" t="s">
        <v>3841</v>
      </c>
      <c r="Q1720" t="b">
        <v>0</v>
      </c>
      <c r="S1720" t="str">
        <f>"9780310346586"</f>
        <v>9780310346586</v>
      </c>
      <c r="T1720" t="str">
        <f>"9780310346647"</f>
        <v>9780310346647</v>
      </c>
      <c r="U1720" t="b">
        <v>0</v>
      </c>
      <c r="W1720" t="b">
        <v>0</v>
      </c>
    </row>
    <row r="1721" spans="1:23" x14ac:dyDescent="0.3">
      <c r="A1721">
        <v>2981090</v>
      </c>
      <c r="B1721">
        <v>65.52</v>
      </c>
      <c r="C1721" t="s">
        <v>3842</v>
      </c>
      <c r="D1721" t="s">
        <v>3843</v>
      </c>
      <c r="E1721" t="s">
        <v>23</v>
      </c>
      <c r="F1721" t="s">
        <v>44</v>
      </c>
      <c r="G1721">
        <v>2021</v>
      </c>
      <c r="H1721" t="s">
        <v>58</v>
      </c>
      <c r="K1721" t="s">
        <v>25</v>
      </c>
      <c r="L1721" t="s">
        <v>26</v>
      </c>
      <c r="M1721" t="b">
        <v>1</v>
      </c>
      <c r="N1721" t="s">
        <v>3844</v>
      </c>
      <c r="Q1721" t="b">
        <v>0</v>
      </c>
      <c r="S1721" t="str">
        <f>"9780310360506"</f>
        <v>9780310360506</v>
      </c>
      <c r="T1721" t="str">
        <f>"9780310360513"</f>
        <v>9780310360513</v>
      </c>
      <c r="U1721" t="b">
        <v>0</v>
      </c>
      <c r="W1721" t="b">
        <v>0</v>
      </c>
    </row>
    <row r="1722" spans="1:23" x14ac:dyDescent="0.3">
      <c r="A1722">
        <v>2981089</v>
      </c>
      <c r="B1722">
        <v>42.61</v>
      </c>
      <c r="C1722" t="s">
        <v>3845</v>
      </c>
      <c r="E1722" t="s">
        <v>23</v>
      </c>
      <c r="F1722" t="s">
        <v>44</v>
      </c>
      <c r="G1722">
        <v>2009</v>
      </c>
      <c r="H1722" t="s">
        <v>58</v>
      </c>
      <c r="K1722" t="s">
        <v>25</v>
      </c>
      <c r="L1722" t="s">
        <v>30</v>
      </c>
      <c r="M1722" t="b">
        <v>1</v>
      </c>
      <c r="N1722" t="s">
        <v>3846</v>
      </c>
      <c r="Q1722" t="b">
        <v>0</v>
      </c>
      <c r="T1722" t="str">
        <f>"9780310864219"</f>
        <v>9780310864219</v>
      </c>
      <c r="U1722" t="b">
        <v>0</v>
      </c>
      <c r="W1722" t="b">
        <v>0</v>
      </c>
    </row>
    <row r="1723" spans="1:23" x14ac:dyDescent="0.3">
      <c r="A1723">
        <v>2981088</v>
      </c>
      <c r="B1723">
        <v>68.97</v>
      </c>
      <c r="C1723" t="s">
        <v>3847</v>
      </c>
      <c r="D1723" t="s">
        <v>3848</v>
      </c>
      <c r="E1723" t="s">
        <v>23</v>
      </c>
      <c r="F1723" t="s">
        <v>44</v>
      </c>
      <c r="G1723">
        <v>2011</v>
      </c>
      <c r="H1723" t="s">
        <v>107</v>
      </c>
      <c r="I1723" t="s">
        <v>3849</v>
      </c>
      <c r="J1723" t="s">
        <v>3850</v>
      </c>
      <c r="K1723" t="s">
        <v>25</v>
      </c>
      <c r="L1723" t="s">
        <v>30</v>
      </c>
      <c r="M1723" t="b">
        <v>1</v>
      </c>
      <c r="N1723" t="s">
        <v>3851</v>
      </c>
      <c r="O1723" t="str">
        <f>"261.8"</f>
        <v>261.8</v>
      </c>
      <c r="Q1723" t="b">
        <v>0</v>
      </c>
      <c r="S1723" t="str">
        <f>"9780310252696"</f>
        <v>9780310252696</v>
      </c>
      <c r="T1723" t="str">
        <f>"9780310862659"</f>
        <v>9780310862659</v>
      </c>
      <c r="U1723" t="b">
        <v>0</v>
      </c>
      <c r="W1723" t="b">
        <v>0</v>
      </c>
    </row>
    <row r="1724" spans="1:23" x14ac:dyDescent="0.3">
      <c r="A1724">
        <v>2981087</v>
      </c>
      <c r="B1724">
        <v>44.82</v>
      </c>
      <c r="C1724" t="s">
        <v>3852</v>
      </c>
      <c r="D1724" t="s">
        <v>3853</v>
      </c>
      <c r="E1724" t="s">
        <v>23</v>
      </c>
      <c r="F1724" t="s">
        <v>44</v>
      </c>
      <c r="G1724">
        <v>2019</v>
      </c>
      <c r="H1724" t="s">
        <v>912</v>
      </c>
      <c r="K1724" t="s">
        <v>25</v>
      </c>
      <c r="L1724" t="s">
        <v>26</v>
      </c>
      <c r="M1724" t="b">
        <v>1</v>
      </c>
      <c r="N1724" t="s">
        <v>3854</v>
      </c>
      <c r="Q1724" t="b">
        <v>0</v>
      </c>
      <c r="S1724" t="str">
        <f>"9780310239710"</f>
        <v>9780310239710</v>
      </c>
      <c r="T1724" t="str">
        <f>"9780310315452"</f>
        <v>9780310315452</v>
      </c>
      <c r="U1724" t="b">
        <v>0</v>
      </c>
      <c r="W1724" t="b">
        <v>0</v>
      </c>
    </row>
    <row r="1725" spans="1:23" x14ac:dyDescent="0.3">
      <c r="A1725">
        <v>2981086</v>
      </c>
      <c r="B1725">
        <v>56.82</v>
      </c>
      <c r="C1725" t="s">
        <v>3855</v>
      </c>
      <c r="D1725" t="s">
        <v>3856</v>
      </c>
      <c r="E1725" t="s">
        <v>23</v>
      </c>
      <c r="F1725" t="s">
        <v>44</v>
      </c>
      <c r="G1725">
        <v>2016</v>
      </c>
      <c r="H1725" t="s">
        <v>3857</v>
      </c>
      <c r="K1725" t="s">
        <v>25</v>
      </c>
      <c r="L1725" t="s">
        <v>30</v>
      </c>
      <c r="M1725" t="b">
        <v>1</v>
      </c>
      <c r="N1725" t="s">
        <v>776</v>
      </c>
      <c r="Q1725" t="b">
        <v>0</v>
      </c>
      <c r="T1725" t="str">
        <f>"9780310751168"</f>
        <v>9780310751168</v>
      </c>
      <c r="U1725" t="b">
        <v>0</v>
      </c>
      <c r="W1725" t="b">
        <v>0</v>
      </c>
    </row>
    <row r="1726" spans="1:23" x14ac:dyDescent="0.3">
      <c r="A1726">
        <v>2981085</v>
      </c>
      <c r="B1726">
        <v>55.17</v>
      </c>
      <c r="C1726" t="s">
        <v>3858</v>
      </c>
      <c r="D1726" t="s">
        <v>3859</v>
      </c>
      <c r="E1726" t="s">
        <v>23</v>
      </c>
      <c r="F1726" t="s">
        <v>44</v>
      </c>
      <c r="G1726">
        <v>2009</v>
      </c>
      <c r="H1726" t="s">
        <v>912</v>
      </c>
      <c r="K1726" t="s">
        <v>25</v>
      </c>
      <c r="L1726" t="s">
        <v>30</v>
      </c>
      <c r="M1726" t="b">
        <v>1</v>
      </c>
      <c r="N1726" t="s">
        <v>3860</v>
      </c>
      <c r="Q1726" t="b">
        <v>0</v>
      </c>
      <c r="S1726" t="str">
        <f>"9780310274889"</f>
        <v>9780310274889</v>
      </c>
      <c r="T1726" t="str">
        <f>"9780310864783"</f>
        <v>9780310864783</v>
      </c>
      <c r="U1726" t="b">
        <v>0</v>
      </c>
      <c r="W1726" t="b">
        <v>0</v>
      </c>
    </row>
    <row r="1727" spans="1:23" x14ac:dyDescent="0.3">
      <c r="A1727">
        <v>2981084</v>
      </c>
      <c r="B1727">
        <v>89.67</v>
      </c>
      <c r="C1727" t="s">
        <v>3861</v>
      </c>
      <c r="D1727" t="s">
        <v>3862</v>
      </c>
      <c r="E1727" t="s">
        <v>23</v>
      </c>
      <c r="F1727" t="s">
        <v>44</v>
      </c>
      <c r="G1727">
        <v>2019</v>
      </c>
      <c r="H1727" t="s">
        <v>3863</v>
      </c>
      <c r="K1727" t="s">
        <v>25</v>
      </c>
      <c r="L1727" t="s">
        <v>26</v>
      </c>
      <c r="M1727" t="b">
        <v>1</v>
      </c>
      <c r="N1727" t="s">
        <v>3864</v>
      </c>
      <c r="Q1727" t="b">
        <v>0</v>
      </c>
      <c r="S1727" t="str">
        <f>"9780310354376"</f>
        <v>9780310354376</v>
      </c>
      <c r="T1727" t="str">
        <f>"9780310354390"</f>
        <v>9780310354390</v>
      </c>
      <c r="U1727" t="b">
        <v>0</v>
      </c>
      <c r="W1727" t="b">
        <v>0</v>
      </c>
    </row>
    <row r="1728" spans="1:23" x14ac:dyDescent="0.3">
      <c r="A1728">
        <v>2981083</v>
      </c>
      <c r="B1728">
        <v>37.92</v>
      </c>
      <c r="C1728" t="s">
        <v>3865</v>
      </c>
      <c r="E1728" t="s">
        <v>23</v>
      </c>
      <c r="F1728" t="s">
        <v>44</v>
      </c>
      <c r="G1728">
        <v>2010</v>
      </c>
      <c r="H1728" t="s">
        <v>728</v>
      </c>
      <c r="K1728" t="s">
        <v>25</v>
      </c>
      <c r="L1728" t="s">
        <v>30</v>
      </c>
      <c r="M1728" t="b">
        <v>1</v>
      </c>
      <c r="N1728" t="s">
        <v>3866</v>
      </c>
      <c r="P1728" t="s">
        <v>3867</v>
      </c>
      <c r="Q1728" t="b">
        <v>1</v>
      </c>
      <c r="S1728" t="str">
        <f>"9780310292760"</f>
        <v>9780310292760</v>
      </c>
      <c r="T1728" t="str">
        <f>"9780310564089"</f>
        <v>9780310564089</v>
      </c>
      <c r="U1728" t="b">
        <v>0</v>
      </c>
      <c r="W1728" t="b">
        <v>0</v>
      </c>
    </row>
    <row r="1729" spans="1:23" x14ac:dyDescent="0.3">
      <c r="A1729">
        <v>2981082</v>
      </c>
      <c r="B1729">
        <v>51.72</v>
      </c>
      <c r="C1729" t="s">
        <v>3868</v>
      </c>
      <c r="D1729" t="s">
        <v>3869</v>
      </c>
      <c r="E1729" t="s">
        <v>23</v>
      </c>
      <c r="F1729" t="s">
        <v>44</v>
      </c>
      <c r="G1729">
        <v>2011</v>
      </c>
      <c r="H1729" t="s">
        <v>107</v>
      </c>
      <c r="K1729" t="s">
        <v>25</v>
      </c>
      <c r="L1729" t="s">
        <v>30</v>
      </c>
      <c r="M1729" t="b">
        <v>1</v>
      </c>
      <c r="N1729" t="s">
        <v>3870</v>
      </c>
      <c r="Q1729" t="b">
        <v>0</v>
      </c>
      <c r="S1729" t="str">
        <f>"9780310324751"</f>
        <v>9780310324751</v>
      </c>
      <c r="T1729" t="str">
        <f>"9780310597490"</f>
        <v>9780310597490</v>
      </c>
      <c r="U1729" t="b">
        <v>0</v>
      </c>
      <c r="W1729" t="b">
        <v>0</v>
      </c>
    </row>
    <row r="1730" spans="1:23" x14ac:dyDescent="0.3">
      <c r="A1730">
        <v>2981081</v>
      </c>
      <c r="B1730">
        <v>62.07</v>
      </c>
      <c r="C1730" t="s">
        <v>3871</v>
      </c>
      <c r="D1730" t="s">
        <v>3872</v>
      </c>
      <c r="E1730" t="s">
        <v>23</v>
      </c>
      <c r="F1730" t="s">
        <v>44</v>
      </c>
      <c r="G1730">
        <v>2019</v>
      </c>
      <c r="H1730" t="s">
        <v>56</v>
      </c>
      <c r="K1730" t="s">
        <v>25</v>
      </c>
      <c r="L1730" t="s">
        <v>26</v>
      </c>
      <c r="M1730" t="b">
        <v>1</v>
      </c>
      <c r="N1730" t="s">
        <v>3873</v>
      </c>
      <c r="Q1730" t="b">
        <v>0</v>
      </c>
      <c r="S1730" t="str">
        <f>"9780310354833"</f>
        <v>9780310354833</v>
      </c>
      <c r="T1730" t="str">
        <f>"9780310354840"</f>
        <v>9780310354840</v>
      </c>
      <c r="U1730" t="b">
        <v>0</v>
      </c>
      <c r="W1730" t="b">
        <v>0</v>
      </c>
    </row>
    <row r="1731" spans="1:23" x14ac:dyDescent="0.3">
      <c r="A1731">
        <v>2981080</v>
      </c>
      <c r="B1731">
        <v>65.52</v>
      </c>
      <c r="C1731" t="s">
        <v>3874</v>
      </c>
      <c r="D1731" t="s">
        <v>3875</v>
      </c>
      <c r="E1731" t="s">
        <v>23</v>
      </c>
      <c r="F1731" t="s">
        <v>44</v>
      </c>
      <c r="G1731">
        <v>2021</v>
      </c>
      <c r="H1731" t="s">
        <v>341</v>
      </c>
      <c r="K1731" t="s">
        <v>25</v>
      </c>
      <c r="L1731" t="s">
        <v>26</v>
      </c>
      <c r="M1731" t="b">
        <v>1</v>
      </c>
      <c r="N1731" t="s">
        <v>3876</v>
      </c>
      <c r="Q1731" t="b">
        <v>0</v>
      </c>
      <c r="S1731" t="str">
        <f>"9780310362050"</f>
        <v>9780310362050</v>
      </c>
      <c r="T1731" t="str">
        <f>"9780310362067"</f>
        <v>9780310362067</v>
      </c>
      <c r="U1731" t="b">
        <v>0</v>
      </c>
      <c r="W1731" t="b">
        <v>0</v>
      </c>
    </row>
    <row r="1732" spans="1:23" x14ac:dyDescent="0.3">
      <c r="A1732">
        <v>2981079</v>
      </c>
      <c r="B1732">
        <v>46.16</v>
      </c>
      <c r="C1732" t="s">
        <v>3877</v>
      </c>
      <c r="E1732" t="s">
        <v>23</v>
      </c>
      <c r="F1732" t="s">
        <v>44</v>
      </c>
      <c r="G1732">
        <v>2010</v>
      </c>
      <c r="H1732" t="s">
        <v>66</v>
      </c>
      <c r="K1732" t="s">
        <v>25</v>
      </c>
      <c r="L1732" t="s">
        <v>30</v>
      </c>
      <c r="M1732" t="b">
        <v>1</v>
      </c>
      <c r="N1732" t="s">
        <v>3878</v>
      </c>
      <c r="Q1732" t="b">
        <v>1</v>
      </c>
      <c r="T1732" t="str">
        <f>"9780310871934"</f>
        <v>9780310871934</v>
      </c>
      <c r="U1732" t="b">
        <v>0</v>
      </c>
      <c r="W1732" t="b">
        <v>0</v>
      </c>
    </row>
    <row r="1733" spans="1:23" x14ac:dyDescent="0.3">
      <c r="A1733">
        <v>2981078</v>
      </c>
      <c r="B1733">
        <v>44.82</v>
      </c>
      <c r="C1733" t="s">
        <v>3879</v>
      </c>
      <c r="D1733" t="s">
        <v>3787</v>
      </c>
      <c r="E1733" t="s">
        <v>23</v>
      </c>
      <c r="F1733" t="s">
        <v>44</v>
      </c>
      <c r="G1733">
        <v>2014</v>
      </c>
      <c r="H1733" t="s">
        <v>341</v>
      </c>
      <c r="K1733" t="s">
        <v>25</v>
      </c>
      <c r="L1733" t="s">
        <v>30</v>
      </c>
      <c r="M1733" t="b">
        <v>1</v>
      </c>
      <c r="N1733" t="s">
        <v>3788</v>
      </c>
      <c r="Q1733" t="b">
        <v>0</v>
      </c>
      <c r="S1733" t="str">
        <f>"9780310747574"</f>
        <v>9780310747574</v>
      </c>
      <c r="T1733" t="str">
        <f>"9780310747581"</f>
        <v>9780310747581</v>
      </c>
      <c r="U1733" t="b">
        <v>0</v>
      </c>
      <c r="W1733" t="b">
        <v>0</v>
      </c>
    </row>
    <row r="1734" spans="1:23" x14ac:dyDescent="0.3">
      <c r="A1734">
        <v>2981077</v>
      </c>
      <c r="B1734">
        <v>14.18</v>
      </c>
      <c r="C1734" t="s">
        <v>3880</v>
      </c>
      <c r="D1734" t="s">
        <v>3881</v>
      </c>
      <c r="E1734" t="s">
        <v>23</v>
      </c>
      <c r="F1734" t="s">
        <v>44</v>
      </c>
      <c r="G1734">
        <v>2015</v>
      </c>
      <c r="H1734" t="s">
        <v>1212</v>
      </c>
      <c r="K1734" t="s">
        <v>25</v>
      </c>
      <c r="L1734" t="s">
        <v>26</v>
      </c>
      <c r="M1734" t="b">
        <v>1</v>
      </c>
      <c r="N1734" t="s">
        <v>3646</v>
      </c>
      <c r="P1734" t="s">
        <v>2785</v>
      </c>
      <c r="Q1734" t="b">
        <v>1</v>
      </c>
      <c r="T1734" t="str">
        <f>"9780310395997"</f>
        <v>9780310395997</v>
      </c>
      <c r="U1734" t="b">
        <v>0</v>
      </c>
      <c r="W1734" t="b">
        <v>0</v>
      </c>
    </row>
    <row r="1735" spans="1:23" x14ac:dyDescent="0.3">
      <c r="A1735">
        <v>2981076</v>
      </c>
      <c r="B1735">
        <v>99.46</v>
      </c>
      <c r="C1735" t="s">
        <v>3882</v>
      </c>
      <c r="D1735" t="s">
        <v>3883</v>
      </c>
      <c r="E1735" t="s">
        <v>23</v>
      </c>
      <c r="F1735" t="s">
        <v>44</v>
      </c>
      <c r="G1735">
        <v>2015</v>
      </c>
      <c r="H1735" t="s">
        <v>728</v>
      </c>
      <c r="K1735" t="s">
        <v>25</v>
      </c>
      <c r="L1735" t="s">
        <v>30</v>
      </c>
      <c r="M1735" t="b">
        <v>1</v>
      </c>
      <c r="N1735" t="s">
        <v>962</v>
      </c>
      <c r="P1735" t="s">
        <v>3811</v>
      </c>
      <c r="Q1735" t="b">
        <v>1</v>
      </c>
      <c r="T1735" t="str">
        <f>"9780310343509"</f>
        <v>9780310343509</v>
      </c>
      <c r="U1735" t="b">
        <v>0</v>
      </c>
      <c r="W1735" t="b">
        <v>0</v>
      </c>
    </row>
    <row r="1736" spans="1:23" x14ac:dyDescent="0.3">
      <c r="A1736">
        <v>2981075</v>
      </c>
      <c r="B1736">
        <v>31.02</v>
      </c>
      <c r="C1736" t="s">
        <v>3884</v>
      </c>
      <c r="D1736" t="s">
        <v>2723</v>
      </c>
      <c r="E1736" t="s">
        <v>23</v>
      </c>
      <c r="F1736" t="s">
        <v>44</v>
      </c>
      <c r="G1736">
        <v>2020</v>
      </c>
      <c r="H1736" t="s">
        <v>772</v>
      </c>
      <c r="K1736" t="s">
        <v>25</v>
      </c>
      <c r="L1736" t="s">
        <v>26</v>
      </c>
      <c r="M1736" t="b">
        <v>1</v>
      </c>
      <c r="N1736" t="s">
        <v>742</v>
      </c>
      <c r="Q1736" t="b">
        <v>1</v>
      </c>
      <c r="S1736" t="str">
        <f>"9780310365594"</f>
        <v>9780310365594</v>
      </c>
      <c r="T1736" t="str">
        <f>"9780310359555"</f>
        <v>9780310359555</v>
      </c>
      <c r="U1736" t="b">
        <v>0</v>
      </c>
      <c r="W1736" t="b">
        <v>0</v>
      </c>
    </row>
    <row r="1737" spans="1:23" x14ac:dyDescent="0.3">
      <c r="A1737">
        <v>2981074</v>
      </c>
      <c r="B1737">
        <v>55.17</v>
      </c>
      <c r="C1737" t="s">
        <v>3885</v>
      </c>
      <c r="E1737" t="s">
        <v>23</v>
      </c>
      <c r="F1737" t="s">
        <v>44</v>
      </c>
      <c r="G1737">
        <v>2010</v>
      </c>
      <c r="H1737" t="s">
        <v>66</v>
      </c>
      <c r="K1737" t="s">
        <v>25</v>
      </c>
      <c r="L1737" t="s">
        <v>30</v>
      </c>
      <c r="M1737" t="b">
        <v>1</v>
      </c>
      <c r="N1737" t="s">
        <v>77</v>
      </c>
      <c r="P1737" t="s">
        <v>3886</v>
      </c>
      <c r="Q1737" t="b">
        <v>1</v>
      </c>
      <c r="S1737" t="str">
        <f>"9780310200161"</f>
        <v>9780310200161</v>
      </c>
      <c r="T1737" t="str">
        <f>"9780310859161"</f>
        <v>9780310859161</v>
      </c>
      <c r="U1737" t="b">
        <v>0</v>
      </c>
      <c r="W1737" t="b">
        <v>0</v>
      </c>
    </row>
    <row r="1738" spans="1:23" x14ac:dyDescent="0.3">
      <c r="A1738">
        <v>2981073</v>
      </c>
      <c r="B1738">
        <v>21.29</v>
      </c>
      <c r="C1738" t="s">
        <v>3887</v>
      </c>
      <c r="E1738" t="s">
        <v>23</v>
      </c>
      <c r="F1738" t="s">
        <v>44</v>
      </c>
      <c r="G1738">
        <v>2016</v>
      </c>
      <c r="H1738" t="s">
        <v>772</v>
      </c>
      <c r="K1738" t="s">
        <v>25</v>
      </c>
      <c r="L1738" t="s">
        <v>26</v>
      </c>
      <c r="M1738" t="b">
        <v>1</v>
      </c>
      <c r="N1738" t="s">
        <v>776</v>
      </c>
      <c r="P1738" t="s">
        <v>3888</v>
      </c>
      <c r="Q1738" t="b">
        <v>1</v>
      </c>
      <c r="S1738" t="str">
        <f>"9780310359883"</f>
        <v>9780310359883</v>
      </c>
      <c r="T1738" t="str">
        <f>"9780310342762"</f>
        <v>9780310342762</v>
      </c>
      <c r="U1738" t="b">
        <v>0</v>
      </c>
      <c r="W1738" t="b">
        <v>0</v>
      </c>
    </row>
    <row r="1739" spans="1:23" x14ac:dyDescent="0.3">
      <c r="A1739">
        <v>2981072</v>
      </c>
      <c r="B1739">
        <v>42.61</v>
      </c>
      <c r="C1739" t="s">
        <v>3889</v>
      </c>
      <c r="E1739" t="s">
        <v>23</v>
      </c>
      <c r="F1739" t="s">
        <v>44</v>
      </c>
      <c r="G1739">
        <v>2011</v>
      </c>
      <c r="H1739" t="s">
        <v>52</v>
      </c>
      <c r="K1739" t="s">
        <v>25</v>
      </c>
      <c r="L1739" t="s">
        <v>30</v>
      </c>
      <c r="M1739" t="b">
        <v>1</v>
      </c>
      <c r="N1739" t="s">
        <v>3890</v>
      </c>
      <c r="Q1739" t="b">
        <v>0</v>
      </c>
      <c r="T1739" t="str">
        <f>"9780310861522"</f>
        <v>9780310861522</v>
      </c>
      <c r="U1739" t="b">
        <v>0</v>
      </c>
      <c r="W1739" t="b">
        <v>0</v>
      </c>
    </row>
    <row r="1740" spans="1:23" x14ac:dyDescent="0.3">
      <c r="A1740">
        <v>2981071</v>
      </c>
      <c r="B1740">
        <v>46.16</v>
      </c>
      <c r="C1740" t="s">
        <v>3891</v>
      </c>
      <c r="D1740" t="s">
        <v>3892</v>
      </c>
      <c r="E1740" t="s">
        <v>23</v>
      </c>
      <c r="F1740" t="s">
        <v>44</v>
      </c>
      <c r="G1740">
        <v>2009</v>
      </c>
      <c r="H1740" t="s">
        <v>736</v>
      </c>
      <c r="K1740" t="s">
        <v>25</v>
      </c>
      <c r="L1740" t="s">
        <v>30</v>
      </c>
      <c r="M1740" t="b">
        <v>1</v>
      </c>
      <c r="N1740" t="s">
        <v>3893</v>
      </c>
      <c r="Q1740" t="b">
        <v>0</v>
      </c>
      <c r="T1740" t="str">
        <f>"9780310395577"</f>
        <v>9780310395577</v>
      </c>
      <c r="U1740" t="b">
        <v>0</v>
      </c>
      <c r="W1740" t="b">
        <v>0</v>
      </c>
    </row>
    <row r="1741" spans="1:23" x14ac:dyDescent="0.3">
      <c r="A1741">
        <v>2981070</v>
      </c>
      <c r="B1741">
        <v>65.52</v>
      </c>
      <c r="C1741" t="s">
        <v>3894</v>
      </c>
      <c r="D1741" t="s">
        <v>3895</v>
      </c>
      <c r="E1741" t="s">
        <v>23</v>
      </c>
      <c r="F1741" t="s">
        <v>44</v>
      </c>
      <c r="G1741">
        <v>2017</v>
      </c>
      <c r="H1741" t="s">
        <v>58</v>
      </c>
      <c r="K1741" t="s">
        <v>25</v>
      </c>
      <c r="L1741" t="s">
        <v>26</v>
      </c>
      <c r="M1741" t="b">
        <v>1</v>
      </c>
      <c r="N1741" t="s">
        <v>1224</v>
      </c>
      <c r="Q1741" t="b">
        <v>0</v>
      </c>
      <c r="S1741" t="str">
        <f>"9780310089384"</f>
        <v>9780310089384</v>
      </c>
      <c r="T1741" t="str">
        <f>"9780310095323"</f>
        <v>9780310095323</v>
      </c>
      <c r="U1741" t="b">
        <v>0</v>
      </c>
      <c r="W1741" t="b">
        <v>0</v>
      </c>
    </row>
    <row r="1742" spans="1:23" x14ac:dyDescent="0.3">
      <c r="A1742">
        <v>2981069</v>
      </c>
      <c r="B1742">
        <v>49.71</v>
      </c>
      <c r="C1742" t="s">
        <v>3896</v>
      </c>
      <c r="E1742" t="s">
        <v>23</v>
      </c>
      <c r="F1742" t="s">
        <v>44</v>
      </c>
      <c r="G1742">
        <v>2010</v>
      </c>
      <c r="H1742" t="s">
        <v>3147</v>
      </c>
      <c r="K1742" t="s">
        <v>25</v>
      </c>
      <c r="L1742" t="s">
        <v>30</v>
      </c>
      <c r="M1742" t="b">
        <v>1</v>
      </c>
      <c r="N1742" t="s">
        <v>83</v>
      </c>
      <c r="P1742" t="s">
        <v>3897</v>
      </c>
      <c r="Q1742" t="b">
        <v>0</v>
      </c>
      <c r="S1742" t="str">
        <f>"9780310714866"</f>
        <v>9780310714866</v>
      </c>
      <c r="T1742" t="str">
        <f>"9780310577485"</f>
        <v>9780310577485</v>
      </c>
      <c r="U1742" t="b">
        <v>0</v>
      </c>
      <c r="W1742" t="b">
        <v>0</v>
      </c>
    </row>
    <row r="1743" spans="1:23" x14ac:dyDescent="0.3">
      <c r="A1743">
        <v>2981068</v>
      </c>
      <c r="B1743">
        <v>42.61</v>
      </c>
      <c r="C1743" t="s">
        <v>3898</v>
      </c>
      <c r="E1743" t="s">
        <v>23</v>
      </c>
      <c r="F1743" t="s">
        <v>44</v>
      </c>
      <c r="G1743">
        <v>2009</v>
      </c>
      <c r="H1743" t="s">
        <v>58</v>
      </c>
      <c r="K1743" t="s">
        <v>25</v>
      </c>
      <c r="L1743" t="s">
        <v>30</v>
      </c>
      <c r="M1743" t="b">
        <v>1</v>
      </c>
      <c r="N1743" t="s">
        <v>1026</v>
      </c>
      <c r="Q1743" t="b">
        <v>0</v>
      </c>
      <c r="T1743" t="str">
        <f>"9780310864417"</f>
        <v>9780310864417</v>
      </c>
      <c r="U1743" t="b">
        <v>0</v>
      </c>
      <c r="W1743" t="b">
        <v>0</v>
      </c>
    </row>
    <row r="1744" spans="1:23" x14ac:dyDescent="0.3">
      <c r="A1744">
        <v>2981067</v>
      </c>
      <c r="B1744">
        <v>99.46</v>
      </c>
      <c r="C1744" t="s">
        <v>3899</v>
      </c>
      <c r="E1744" t="s">
        <v>23</v>
      </c>
      <c r="F1744" t="s">
        <v>44</v>
      </c>
      <c r="G1744">
        <v>2014</v>
      </c>
      <c r="H1744" t="s">
        <v>3900</v>
      </c>
      <c r="K1744" t="s">
        <v>25</v>
      </c>
      <c r="L1744" t="s">
        <v>26</v>
      </c>
      <c r="M1744" t="b">
        <v>1</v>
      </c>
      <c r="N1744" t="s">
        <v>44</v>
      </c>
      <c r="Q1744" t="b">
        <v>0</v>
      </c>
      <c r="T1744" t="str">
        <f>"9780310432364"</f>
        <v>9780310432364</v>
      </c>
      <c r="U1744" t="b">
        <v>0</v>
      </c>
      <c r="W1744" t="b">
        <v>0</v>
      </c>
    </row>
    <row r="1745" spans="1:23" x14ac:dyDescent="0.3">
      <c r="A1745">
        <v>2981066</v>
      </c>
      <c r="B1745">
        <v>46.16</v>
      </c>
      <c r="C1745" t="s">
        <v>3901</v>
      </c>
      <c r="D1745" t="s">
        <v>3902</v>
      </c>
      <c r="E1745" t="s">
        <v>23</v>
      </c>
      <c r="F1745" t="s">
        <v>44</v>
      </c>
      <c r="G1745">
        <v>2016</v>
      </c>
      <c r="H1745" t="s">
        <v>58</v>
      </c>
      <c r="K1745" t="s">
        <v>25</v>
      </c>
      <c r="L1745" t="s">
        <v>26</v>
      </c>
      <c r="M1745" t="b">
        <v>1</v>
      </c>
      <c r="N1745" t="s">
        <v>3903</v>
      </c>
      <c r="Q1745" t="b">
        <v>0</v>
      </c>
      <c r="T1745" t="str">
        <f>"9780310338895"</f>
        <v>9780310338895</v>
      </c>
      <c r="U1745" t="b">
        <v>0</v>
      </c>
      <c r="W1745" t="b">
        <v>0</v>
      </c>
    </row>
    <row r="1746" spans="1:23" x14ac:dyDescent="0.3">
      <c r="A1746">
        <v>2981065</v>
      </c>
      <c r="B1746">
        <v>35.5</v>
      </c>
      <c r="C1746" t="s">
        <v>3904</v>
      </c>
      <c r="E1746" t="s">
        <v>23</v>
      </c>
      <c r="F1746" t="s">
        <v>44</v>
      </c>
      <c r="G1746">
        <v>2011</v>
      </c>
      <c r="H1746" t="s">
        <v>1315</v>
      </c>
      <c r="K1746" t="s">
        <v>25</v>
      </c>
      <c r="L1746" t="s">
        <v>30</v>
      </c>
      <c r="M1746" t="b">
        <v>1</v>
      </c>
      <c r="N1746" t="s">
        <v>28</v>
      </c>
      <c r="Q1746" t="b">
        <v>0</v>
      </c>
      <c r="T1746" t="str">
        <f>"9780310729891"</f>
        <v>9780310729891</v>
      </c>
      <c r="U1746" t="b">
        <v>0</v>
      </c>
      <c r="W1746" t="b">
        <v>0</v>
      </c>
    </row>
    <row r="1747" spans="1:23" x14ac:dyDescent="0.3">
      <c r="A1747">
        <v>2981064</v>
      </c>
      <c r="B1747">
        <v>62.07</v>
      </c>
      <c r="C1747" t="s">
        <v>3905</v>
      </c>
      <c r="D1747" t="s">
        <v>3906</v>
      </c>
      <c r="E1747" t="s">
        <v>23</v>
      </c>
      <c r="F1747" t="s">
        <v>44</v>
      </c>
      <c r="G1747">
        <v>2019</v>
      </c>
      <c r="H1747" t="s">
        <v>70</v>
      </c>
      <c r="I1747" t="s">
        <v>3907</v>
      </c>
      <c r="J1747" t="s">
        <v>3908</v>
      </c>
      <c r="K1747" t="s">
        <v>25</v>
      </c>
      <c r="L1747" t="s">
        <v>26</v>
      </c>
      <c r="M1747" t="b">
        <v>1</v>
      </c>
      <c r="N1747" t="s">
        <v>3909</v>
      </c>
      <c r="O1747" t="str">
        <f>"239"</f>
        <v>239</v>
      </c>
      <c r="Q1747" t="b">
        <v>0</v>
      </c>
      <c r="S1747" t="str">
        <f>"9780310353867"</f>
        <v>9780310353867</v>
      </c>
      <c r="T1747" t="str">
        <f>"9780310353881"</f>
        <v>9780310353881</v>
      </c>
      <c r="U1747" t="b">
        <v>0</v>
      </c>
      <c r="W1747" t="b">
        <v>0</v>
      </c>
    </row>
    <row r="1748" spans="1:23" x14ac:dyDescent="0.3">
      <c r="A1748">
        <v>2981063</v>
      </c>
      <c r="B1748">
        <v>58.62</v>
      </c>
      <c r="C1748" t="s">
        <v>3910</v>
      </c>
      <c r="D1748" t="s">
        <v>3911</v>
      </c>
      <c r="E1748" t="s">
        <v>23</v>
      </c>
      <c r="F1748" t="s">
        <v>44</v>
      </c>
      <c r="G1748">
        <v>2015</v>
      </c>
      <c r="H1748" t="s">
        <v>850</v>
      </c>
      <c r="K1748" t="s">
        <v>25</v>
      </c>
      <c r="M1748" t="b">
        <v>1</v>
      </c>
      <c r="N1748" t="s">
        <v>3778</v>
      </c>
      <c r="Q1748" t="b">
        <v>0</v>
      </c>
      <c r="S1748" t="str">
        <f>"9780310341055"</f>
        <v>9780310341055</v>
      </c>
      <c r="T1748" t="str">
        <f>"9780310342137"</f>
        <v>9780310342137</v>
      </c>
      <c r="U1748" t="b">
        <v>0</v>
      </c>
      <c r="W1748" t="b">
        <v>0</v>
      </c>
    </row>
    <row r="1749" spans="1:23" x14ac:dyDescent="0.3">
      <c r="A1749">
        <v>2981062</v>
      </c>
      <c r="B1749">
        <v>55.17</v>
      </c>
      <c r="C1749" t="s">
        <v>3912</v>
      </c>
      <c r="E1749" t="s">
        <v>23</v>
      </c>
      <c r="F1749" t="s">
        <v>44</v>
      </c>
      <c r="G1749">
        <v>2015</v>
      </c>
      <c r="H1749" t="s">
        <v>852</v>
      </c>
      <c r="K1749" t="s">
        <v>25</v>
      </c>
      <c r="L1749" t="s">
        <v>26</v>
      </c>
      <c r="M1749" t="b">
        <v>1</v>
      </c>
      <c r="N1749" t="s">
        <v>3913</v>
      </c>
      <c r="P1749" t="s">
        <v>3914</v>
      </c>
      <c r="Q1749" t="b">
        <v>1</v>
      </c>
      <c r="S1749" t="str">
        <f>"9780310333401"</f>
        <v>9780310333401</v>
      </c>
      <c r="T1749" t="str">
        <f>"9780310333418"</f>
        <v>9780310333418</v>
      </c>
      <c r="U1749" t="b">
        <v>0</v>
      </c>
      <c r="W1749" t="b">
        <v>0</v>
      </c>
    </row>
    <row r="1750" spans="1:23" x14ac:dyDescent="0.3">
      <c r="A1750">
        <v>2981061</v>
      </c>
      <c r="B1750">
        <v>71.03</v>
      </c>
      <c r="C1750" t="s">
        <v>3915</v>
      </c>
      <c r="D1750" t="s">
        <v>3916</v>
      </c>
      <c r="E1750" t="s">
        <v>23</v>
      </c>
      <c r="F1750" t="s">
        <v>44</v>
      </c>
      <c r="G1750">
        <v>2017</v>
      </c>
      <c r="H1750" t="s">
        <v>3917</v>
      </c>
      <c r="K1750" t="s">
        <v>25</v>
      </c>
      <c r="L1750" t="s">
        <v>26</v>
      </c>
      <c r="M1750" t="b">
        <v>1</v>
      </c>
      <c r="N1750" t="s">
        <v>3918</v>
      </c>
      <c r="Q1750" t="b">
        <v>0</v>
      </c>
      <c r="T1750" t="str">
        <f>"9780310092049"</f>
        <v>9780310092049</v>
      </c>
      <c r="U1750" t="b">
        <v>0</v>
      </c>
      <c r="W1750" t="b">
        <v>0</v>
      </c>
    </row>
    <row r="1751" spans="1:23" x14ac:dyDescent="0.3">
      <c r="A1751">
        <v>2981060</v>
      </c>
      <c r="B1751">
        <v>27.57</v>
      </c>
      <c r="C1751" t="s">
        <v>3919</v>
      </c>
      <c r="E1751" t="s">
        <v>23</v>
      </c>
      <c r="F1751" t="s">
        <v>44</v>
      </c>
      <c r="G1751">
        <v>2015</v>
      </c>
      <c r="H1751" t="s">
        <v>728</v>
      </c>
      <c r="K1751" t="s">
        <v>25</v>
      </c>
      <c r="L1751" t="s">
        <v>30</v>
      </c>
      <c r="M1751" t="b">
        <v>1</v>
      </c>
      <c r="N1751" t="s">
        <v>776</v>
      </c>
      <c r="P1751" t="s">
        <v>3036</v>
      </c>
      <c r="Q1751" t="b">
        <v>1</v>
      </c>
      <c r="S1751" t="str">
        <f>"9780310350774"</f>
        <v>9780310350774</v>
      </c>
      <c r="T1751" t="str">
        <f>"9780310335894"</f>
        <v>9780310335894</v>
      </c>
      <c r="U1751" t="b">
        <v>0</v>
      </c>
      <c r="W1751" t="b">
        <v>0</v>
      </c>
    </row>
    <row r="1752" spans="1:23" x14ac:dyDescent="0.3">
      <c r="A1752">
        <v>2981059</v>
      </c>
      <c r="B1752">
        <v>55.17</v>
      </c>
      <c r="C1752" t="s">
        <v>3920</v>
      </c>
      <c r="D1752" t="s">
        <v>3921</v>
      </c>
      <c r="E1752" t="s">
        <v>23</v>
      </c>
      <c r="F1752" t="s">
        <v>44</v>
      </c>
      <c r="G1752">
        <v>2013</v>
      </c>
      <c r="H1752" t="s">
        <v>99</v>
      </c>
      <c r="K1752" t="s">
        <v>25</v>
      </c>
      <c r="L1752" t="s">
        <v>30</v>
      </c>
      <c r="M1752" t="b">
        <v>1</v>
      </c>
      <c r="N1752" t="s">
        <v>3922</v>
      </c>
      <c r="Q1752" t="b">
        <v>0</v>
      </c>
      <c r="S1752" t="str">
        <f>"9780310324799"</f>
        <v>9780310324799</v>
      </c>
      <c r="T1752" t="str">
        <f>"9780310412670"</f>
        <v>9780310412670</v>
      </c>
      <c r="U1752" t="b">
        <v>0</v>
      </c>
      <c r="W1752" t="b">
        <v>0</v>
      </c>
    </row>
    <row r="1753" spans="1:23" x14ac:dyDescent="0.3">
      <c r="A1753">
        <v>2981058</v>
      </c>
      <c r="B1753">
        <v>44.82</v>
      </c>
      <c r="C1753" t="s">
        <v>3923</v>
      </c>
      <c r="D1753" t="s">
        <v>3924</v>
      </c>
      <c r="E1753" t="s">
        <v>23</v>
      </c>
      <c r="F1753" t="s">
        <v>44</v>
      </c>
      <c r="G1753">
        <v>2010</v>
      </c>
      <c r="H1753" t="s">
        <v>56</v>
      </c>
      <c r="K1753" t="s">
        <v>25</v>
      </c>
      <c r="M1753" t="b">
        <v>1</v>
      </c>
      <c r="N1753" t="s">
        <v>3925</v>
      </c>
      <c r="Q1753" t="b">
        <v>0</v>
      </c>
      <c r="S1753" t="str">
        <f>"9780310245773"</f>
        <v>9780310245773</v>
      </c>
      <c r="T1753" t="str">
        <f>"9780310877363"</f>
        <v>9780310877363</v>
      </c>
      <c r="U1753" t="b">
        <v>0</v>
      </c>
      <c r="W1753" t="b">
        <v>0</v>
      </c>
    </row>
    <row r="1754" spans="1:23" x14ac:dyDescent="0.3">
      <c r="A1754">
        <v>2981057</v>
      </c>
      <c r="B1754">
        <v>100.02</v>
      </c>
      <c r="C1754" t="s">
        <v>3926</v>
      </c>
      <c r="E1754" t="s">
        <v>23</v>
      </c>
      <c r="F1754" t="s">
        <v>44</v>
      </c>
      <c r="G1754">
        <v>2011</v>
      </c>
      <c r="H1754" t="s">
        <v>746</v>
      </c>
      <c r="I1754" t="s">
        <v>3927</v>
      </c>
      <c r="K1754" t="s">
        <v>25</v>
      </c>
      <c r="L1754" t="s">
        <v>30</v>
      </c>
      <c r="M1754" t="b">
        <v>1</v>
      </c>
      <c r="N1754" t="s">
        <v>44</v>
      </c>
      <c r="O1754" t="str">
        <f>"220.5203"</f>
        <v>220.5203</v>
      </c>
      <c r="Q1754" t="b">
        <v>0</v>
      </c>
      <c r="S1754" t="str">
        <f>"9780061231193"</f>
        <v>9780061231193</v>
      </c>
      <c r="T1754" t="str">
        <f>"9780062062215"</f>
        <v>9780062062215</v>
      </c>
      <c r="U1754" t="b">
        <v>0</v>
      </c>
      <c r="W1754" t="b">
        <v>0</v>
      </c>
    </row>
    <row r="1755" spans="1:23" x14ac:dyDescent="0.3">
      <c r="A1755">
        <v>2981056</v>
      </c>
      <c r="B1755">
        <v>65.52</v>
      </c>
      <c r="C1755" t="s">
        <v>3928</v>
      </c>
      <c r="D1755" t="s">
        <v>3929</v>
      </c>
      <c r="E1755" t="s">
        <v>23</v>
      </c>
      <c r="F1755" t="s">
        <v>44</v>
      </c>
      <c r="G1755">
        <v>2019</v>
      </c>
      <c r="H1755" t="s">
        <v>56</v>
      </c>
      <c r="K1755" t="s">
        <v>25</v>
      </c>
      <c r="L1755" t="s">
        <v>26</v>
      </c>
      <c r="M1755" t="b">
        <v>1</v>
      </c>
      <c r="N1755" t="s">
        <v>1008</v>
      </c>
      <c r="Q1755" t="b">
        <v>0</v>
      </c>
      <c r="S1755" t="str">
        <f>"9780310353775"</f>
        <v>9780310353775</v>
      </c>
      <c r="T1755" t="str">
        <f>"9780310353799"</f>
        <v>9780310353799</v>
      </c>
      <c r="U1755" t="b">
        <v>0</v>
      </c>
      <c r="W1755" t="b">
        <v>0</v>
      </c>
    </row>
    <row r="1756" spans="1:23" x14ac:dyDescent="0.3">
      <c r="A1756">
        <v>2981055</v>
      </c>
      <c r="B1756">
        <v>65.52</v>
      </c>
      <c r="C1756" t="s">
        <v>3930</v>
      </c>
      <c r="D1756" t="s">
        <v>3931</v>
      </c>
      <c r="E1756" t="s">
        <v>23</v>
      </c>
      <c r="F1756" t="s">
        <v>44</v>
      </c>
      <c r="G1756">
        <v>2014</v>
      </c>
      <c r="H1756" t="s">
        <v>3932</v>
      </c>
      <c r="K1756" t="s">
        <v>25</v>
      </c>
      <c r="L1756" t="s">
        <v>30</v>
      </c>
      <c r="M1756" t="b">
        <v>1</v>
      </c>
      <c r="N1756" t="s">
        <v>3933</v>
      </c>
      <c r="Q1756" t="b">
        <v>0</v>
      </c>
      <c r="S1756" t="str">
        <f>"9780310357568"</f>
        <v>9780310357568</v>
      </c>
      <c r="T1756" t="str">
        <f>"9780310338048"</f>
        <v>9780310338048</v>
      </c>
      <c r="U1756" t="b">
        <v>0</v>
      </c>
      <c r="W1756" t="b">
        <v>0</v>
      </c>
    </row>
    <row r="1757" spans="1:23" x14ac:dyDescent="0.3">
      <c r="A1757">
        <v>2981054</v>
      </c>
      <c r="B1757">
        <v>55.17</v>
      </c>
      <c r="C1757" t="s">
        <v>3934</v>
      </c>
      <c r="D1757" t="s">
        <v>3935</v>
      </c>
      <c r="E1757" t="s">
        <v>23</v>
      </c>
      <c r="F1757" t="s">
        <v>44</v>
      </c>
      <c r="G1757">
        <v>2019</v>
      </c>
      <c r="H1757" t="s">
        <v>2973</v>
      </c>
      <c r="K1757" t="s">
        <v>25</v>
      </c>
      <c r="L1757" t="s">
        <v>26</v>
      </c>
      <c r="M1757" t="b">
        <v>1</v>
      </c>
      <c r="N1757" t="s">
        <v>44</v>
      </c>
      <c r="Q1757" t="b">
        <v>0</v>
      </c>
      <c r="S1757" t="str">
        <f>"9780310767398"</f>
        <v>9780310767398</v>
      </c>
      <c r="T1757" t="str">
        <f>"9780310767640"</f>
        <v>9780310767640</v>
      </c>
      <c r="U1757" t="b">
        <v>0</v>
      </c>
      <c r="W1757" t="b">
        <v>0</v>
      </c>
    </row>
    <row r="1758" spans="1:23" x14ac:dyDescent="0.3">
      <c r="A1758">
        <v>2981053</v>
      </c>
      <c r="B1758">
        <v>58.62</v>
      </c>
      <c r="C1758" t="s">
        <v>3936</v>
      </c>
      <c r="D1758" t="s">
        <v>3937</v>
      </c>
      <c r="E1758" t="s">
        <v>23</v>
      </c>
      <c r="F1758" t="s">
        <v>44</v>
      </c>
      <c r="G1758">
        <v>2015</v>
      </c>
      <c r="H1758" t="s">
        <v>58</v>
      </c>
      <c r="K1758" t="s">
        <v>25</v>
      </c>
      <c r="L1758" t="s">
        <v>26</v>
      </c>
      <c r="M1758" t="b">
        <v>1</v>
      </c>
      <c r="N1758" t="s">
        <v>3938</v>
      </c>
      <c r="Q1758" t="b">
        <v>0</v>
      </c>
      <c r="S1758" t="str">
        <f>"9780310341918"</f>
        <v>9780310341918</v>
      </c>
      <c r="T1758" t="str">
        <f>"9780310341925"</f>
        <v>9780310341925</v>
      </c>
      <c r="U1758" t="b">
        <v>0</v>
      </c>
      <c r="W1758" t="b">
        <v>0</v>
      </c>
    </row>
    <row r="1759" spans="1:23" x14ac:dyDescent="0.3">
      <c r="A1759">
        <v>2981052</v>
      </c>
      <c r="B1759">
        <v>51.72</v>
      </c>
      <c r="C1759" t="s">
        <v>3939</v>
      </c>
      <c r="D1759" t="s">
        <v>3940</v>
      </c>
      <c r="E1759" t="s">
        <v>23</v>
      </c>
      <c r="F1759" t="s">
        <v>44</v>
      </c>
      <c r="G1759">
        <v>2020</v>
      </c>
      <c r="H1759" t="s">
        <v>3941</v>
      </c>
      <c r="K1759" t="s">
        <v>25</v>
      </c>
      <c r="L1759" t="s">
        <v>26</v>
      </c>
      <c r="M1759" t="b">
        <v>1</v>
      </c>
      <c r="N1759" t="s">
        <v>44</v>
      </c>
      <c r="Q1759" t="b">
        <v>0</v>
      </c>
      <c r="S1759" t="str">
        <f>"9780310354130"</f>
        <v>9780310354130</v>
      </c>
      <c r="T1759" t="str">
        <f>"9780310451709"</f>
        <v>9780310451709</v>
      </c>
      <c r="U1759" t="b">
        <v>0</v>
      </c>
      <c r="W1759" t="b">
        <v>0</v>
      </c>
    </row>
    <row r="1760" spans="1:23" x14ac:dyDescent="0.3">
      <c r="A1760">
        <v>2981051</v>
      </c>
      <c r="B1760">
        <v>99.46</v>
      </c>
      <c r="C1760" t="s">
        <v>3942</v>
      </c>
      <c r="D1760" t="s">
        <v>3943</v>
      </c>
      <c r="E1760" t="s">
        <v>23</v>
      </c>
      <c r="F1760" t="s">
        <v>44</v>
      </c>
      <c r="G1760">
        <v>2014</v>
      </c>
      <c r="H1760" t="s">
        <v>3944</v>
      </c>
      <c r="K1760" t="s">
        <v>25</v>
      </c>
      <c r="L1760" t="s">
        <v>30</v>
      </c>
      <c r="M1760" t="b">
        <v>1</v>
      </c>
      <c r="N1760" t="s">
        <v>3353</v>
      </c>
      <c r="P1760" t="s">
        <v>3945</v>
      </c>
      <c r="Q1760" t="b">
        <v>1</v>
      </c>
      <c r="T1760" t="str">
        <f>"9780310342557"</f>
        <v>9780310342557</v>
      </c>
      <c r="U1760" t="b">
        <v>0</v>
      </c>
      <c r="W1760" t="b">
        <v>0</v>
      </c>
    </row>
    <row r="1761" spans="1:23" x14ac:dyDescent="0.3">
      <c r="A1761">
        <v>2981050</v>
      </c>
      <c r="B1761">
        <v>55.17</v>
      </c>
      <c r="C1761" t="s">
        <v>3946</v>
      </c>
      <c r="D1761" t="s">
        <v>2511</v>
      </c>
      <c r="E1761" t="s">
        <v>23</v>
      </c>
      <c r="F1761" t="s">
        <v>44</v>
      </c>
      <c r="G1761">
        <v>2016</v>
      </c>
      <c r="H1761" t="s">
        <v>132</v>
      </c>
      <c r="K1761" t="s">
        <v>25</v>
      </c>
      <c r="L1761" t="s">
        <v>26</v>
      </c>
      <c r="M1761" t="b">
        <v>1</v>
      </c>
      <c r="N1761" t="s">
        <v>3947</v>
      </c>
      <c r="Q1761" t="b">
        <v>0</v>
      </c>
      <c r="S1761" t="str">
        <f>"9780310083597"</f>
        <v>9780310083597</v>
      </c>
      <c r="T1761" t="str">
        <f>"9780310083603"</f>
        <v>9780310083603</v>
      </c>
      <c r="U1761" t="b">
        <v>0</v>
      </c>
      <c r="W1761" t="b">
        <v>0</v>
      </c>
    </row>
    <row r="1762" spans="1:23" x14ac:dyDescent="0.3">
      <c r="A1762">
        <v>2981049</v>
      </c>
      <c r="B1762">
        <v>14.18</v>
      </c>
      <c r="C1762" t="s">
        <v>3948</v>
      </c>
      <c r="E1762" t="s">
        <v>23</v>
      </c>
      <c r="F1762" t="s">
        <v>44</v>
      </c>
      <c r="G1762">
        <v>2010</v>
      </c>
      <c r="H1762" t="s">
        <v>1746</v>
      </c>
      <c r="K1762" t="s">
        <v>25</v>
      </c>
      <c r="L1762" t="s">
        <v>30</v>
      </c>
      <c r="M1762" t="b">
        <v>1</v>
      </c>
      <c r="N1762" t="s">
        <v>1346</v>
      </c>
      <c r="P1762" t="s">
        <v>1347</v>
      </c>
      <c r="Q1762" t="b">
        <v>1</v>
      </c>
      <c r="T1762" t="str">
        <f>"9780310864806"</f>
        <v>9780310864806</v>
      </c>
      <c r="U1762" t="b">
        <v>0</v>
      </c>
      <c r="W1762" t="b">
        <v>0</v>
      </c>
    </row>
    <row r="1763" spans="1:23" x14ac:dyDescent="0.3">
      <c r="A1763">
        <v>2981048</v>
      </c>
      <c r="B1763">
        <v>58.62</v>
      </c>
      <c r="C1763" t="s">
        <v>3949</v>
      </c>
      <c r="D1763" t="s">
        <v>3950</v>
      </c>
      <c r="E1763" t="s">
        <v>23</v>
      </c>
      <c r="F1763" t="s">
        <v>44</v>
      </c>
      <c r="G1763">
        <v>2018</v>
      </c>
      <c r="H1763" t="s">
        <v>1848</v>
      </c>
      <c r="K1763" t="s">
        <v>25</v>
      </c>
      <c r="L1763" t="s">
        <v>26</v>
      </c>
      <c r="M1763" t="b">
        <v>1</v>
      </c>
      <c r="N1763" t="s">
        <v>3951</v>
      </c>
      <c r="Q1763" t="b">
        <v>0</v>
      </c>
      <c r="S1763" t="str">
        <f>"9780310765134"</f>
        <v>9780310765134</v>
      </c>
      <c r="T1763" t="str">
        <f>"9780310765103"</f>
        <v>9780310765103</v>
      </c>
      <c r="U1763" t="b">
        <v>0</v>
      </c>
      <c r="W1763" t="b">
        <v>0</v>
      </c>
    </row>
    <row r="1764" spans="1:23" x14ac:dyDescent="0.3">
      <c r="A1764">
        <v>2981047</v>
      </c>
      <c r="B1764">
        <v>62.07</v>
      </c>
      <c r="C1764" t="s">
        <v>3952</v>
      </c>
      <c r="D1764" t="s">
        <v>3953</v>
      </c>
      <c r="E1764" t="s">
        <v>23</v>
      </c>
      <c r="F1764" t="s">
        <v>44</v>
      </c>
      <c r="G1764">
        <v>2017</v>
      </c>
      <c r="H1764" t="s">
        <v>99</v>
      </c>
      <c r="K1764" t="s">
        <v>25</v>
      </c>
      <c r="L1764" t="s">
        <v>26</v>
      </c>
      <c r="M1764" t="b">
        <v>1</v>
      </c>
      <c r="N1764" t="s">
        <v>3954</v>
      </c>
      <c r="Q1764" t="b">
        <v>0</v>
      </c>
      <c r="S1764" t="str">
        <f>"9780310356257"</f>
        <v>9780310356257</v>
      </c>
      <c r="T1764" t="str">
        <f>"9780310347255"</f>
        <v>9780310347255</v>
      </c>
      <c r="U1764" t="b">
        <v>0</v>
      </c>
      <c r="W1764" t="b">
        <v>0</v>
      </c>
    </row>
    <row r="1765" spans="1:23" x14ac:dyDescent="0.3">
      <c r="A1765">
        <v>2981046</v>
      </c>
      <c r="B1765">
        <v>42.61</v>
      </c>
      <c r="C1765" t="s">
        <v>3955</v>
      </c>
      <c r="D1765" t="s">
        <v>3956</v>
      </c>
      <c r="E1765" t="s">
        <v>23</v>
      </c>
      <c r="F1765" t="s">
        <v>44</v>
      </c>
      <c r="G1765">
        <v>2015</v>
      </c>
      <c r="H1765" t="s">
        <v>89</v>
      </c>
      <c r="K1765" t="s">
        <v>25</v>
      </c>
      <c r="L1765" t="s">
        <v>30</v>
      </c>
      <c r="M1765" t="b">
        <v>1</v>
      </c>
      <c r="N1765" t="s">
        <v>3144</v>
      </c>
      <c r="Q1765" t="b">
        <v>0</v>
      </c>
      <c r="T1765" t="str">
        <f>"9780310339069"</f>
        <v>9780310339069</v>
      </c>
      <c r="U1765" t="b">
        <v>0</v>
      </c>
      <c r="W1765" t="b">
        <v>0</v>
      </c>
    </row>
    <row r="1766" spans="1:23" x14ac:dyDescent="0.3">
      <c r="A1766">
        <v>2981045</v>
      </c>
      <c r="B1766">
        <v>65.52</v>
      </c>
      <c r="C1766" t="s">
        <v>3957</v>
      </c>
      <c r="D1766" t="s">
        <v>3958</v>
      </c>
      <c r="E1766" t="s">
        <v>23</v>
      </c>
      <c r="F1766" t="s">
        <v>44</v>
      </c>
      <c r="G1766">
        <v>2021</v>
      </c>
      <c r="H1766" t="s">
        <v>737</v>
      </c>
      <c r="I1766" t="s">
        <v>1225</v>
      </c>
      <c r="J1766" t="s">
        <v>3959</v>
      </c>
      <c r="K1766" t="s">
        <v>25</v>
      </c>
      <c r="L1766" t="s">
        <v>26</v>
      </c>
      <c r="M1766" t="b">
        <v>1</v>
      </c>
      <c r="N1766" t="s">
        <v>3960</v>
      </c>
      <c r="O1766" t="str">
        <f>"248.8/42"</f>
        <v>248.8/42</v>
      </c>
      <c r="Q1766" t="b">
        <v>0</v>
      </c>
      <c r="S1766" t="str">
        <f>"9780310120124"</f>
        <v>9780310120124</v>
      </c>
      <c r="T1766" t="str">
        <f>"9780310120131"</f>
        <v>9780310120131</v>
      </c>
      <c r="U1766" t="b">
        <v>0</v>
      </c>
      <c r="W1766" t="b">
        <v>0</v>
      </c>
    </row>
    <row r="1767" spans="1:23" x14ac:dyDescent="0.3">
      <c r="A1767">
        <v>2981044</v>
      </c>
      <c r="B1767">
        <v>44.82</v>
      </c>
      <c r="C1767" t="s">
        <v>3961</v>
      </c>
      <c r="D1767" t="s">
        <v>3962</v>
      </c>
      <c r="E1767" t="s">
        <v>23</v>
      </c>
      <c r="F1767" t="s">
        <v>44</v>
      </c>
      <c r="G1767">
        <v>2009</v>
      </c>
      <c r="H1767" t="s">
        <v>24</v>
      </c>
      <c r="K1767" t="s">
        <v>25</v>
      </c>
      <c r="L1767" t="s">
        <v>30</v>
      </c>
      <c r="M1767" t="b">
        <v>1</v>
      </c>
      <c r="N1767" t="s">
        <v>973</v>
      </c>
      <c r="Q1767" t="b">
        <v>0</v>
      </c>
      <c r="S1767" t="str">
        <f>"9780310272687"</f>
        <v>9780310272687</v>
      </c>
      <c r="T1767" t="str">
        <f>"9780310867067"</f>
        <v>9780310867067</v>
      </c>
      <c r="U1767" t="b">
        <v>0</v>
      </c>
      <c r="W1767" t="b">
        <v>0</v>
      </c>
    </row>
    <row r="1768" spans="1:23" x14ac:dyDescent="0.3">
      <c r="A1768">
        <v>2981043</v>
      </c>
      <c r="B1768">
        <v>35.5</v>
      </c>
      <c r="C1768" t="s">
        <v>3963</v>
      </c>
      <c r="E1768" t="s">
        <v>23</v>
      </c>
      <c r="F1768" t="s">
        <v>44</v>
      </c>
      <c r="G1768">
        <v>2010</v>
      </c>
      <c r="H1768" t="s">
        <v>3964</v>
      </c>
      <c r="K1768" t="s">
        <v>25</v>
      </c>
      <c r="L1768" t="s">
        <v>30</v>
      </c>
      <c r="M1768" t="b">
        <v>1</v>
      </c>
      <c r="N1768" t="s">
        <v>408</v>
      </c>
      <c r="P1768" t="s">
        <v>3599</v>
      </c>
      <c r="Q1768" t="b">
        <v>0</v>
      </c>
      <c r="T1768" t="str">
        <f>"9780310429500"</f>
        <v>9780310429500</v>
      </c>
      <c r="U1768" t="b">
        <v>0</v>
      </c>
      <c r="W1768" t="b">
        <v>0</v>
      </c>
    </row>
    <row r="1769" spans="1:23" x14ac:dyDescent="0.3">
      <c r="A1769">
        <v>2981042</v>
      </c>
      <c r="B1769">
        <v>62.07</v>
      </c>
      <c r="C1769" t="s">
        <v>3965</v>
      </c>
      <c r="D1769" t="s">
        <v>3966</v>
      </c>
      <c r="E1769" t="s">
        <v>23</v>
      </c>
      <c r="F1769" t="s">
        <v>44</v>
      </c>
      <c r="G1769">
        <v>2016</v>
      </c>
      <c r="H1769" t="s">
        <v>89</v>
      </c>
      <c r="K1769" t="s">
        <v>25</v>
      </c>
      <c r="L1769" t="s">
        <v>26</v>
      </c>
      <c r="M1769" t="b">
        <v>1</v>
      </c>
      <c r="N1769" t="s">
        <v>3967</v>
      </c>
      <c r="Q1769" t="b">
        <v>0</v>
      </c>
      <c r="S1769" t="str">
        <f>"9780310345534"</f>
        <v>9780310345534</v>
      </c>
      <c r="T1769" t="str">
        <f>"9780310345541"</f>
        <v>9780310345541</v>
      </c>
      <c r="U1769" t="b">
        <v>0</v>
      </c>
      <c r="W1769" t="b">
        <v>0</v>
      </c>
    </row>
    <row r="1770" spans="1:23" x14ac:dyDescent="0.3">
      <c r="A1770">
        <v>2981041</v>
      </c>
      <c r="B1770">
        <v>93.12</v>
      </c>
      <c r="C1770" t="s">
        <v>3968</v>
      </c>
      <c r="D1770" t="s">
        <v>3969</v>
      </c>
      <c r="E1770" t="s">
        <v>23</v>
      </c>
      <c r="F1770" t="s">
        <v>44</v>
      </c>
      <c r="G1770">
        <v>2017</v>
      </c>
      <c r="H1770" t="s">
        <v>89</v>
      </c>
      <c r="K1770" t="s">
        <v>25</v>
      </c>
      <c r="L1770" t="s">
        <v>26</v>
      </c>
      <c r="M1770" t="b">
        <v>1</v>
      </c>
      <c r="N1770" t="s">
        <v>3970</v>
      </c>
      <c r="Q1770" t="b">
        <v>0</v>
      </c>
      <c r="S1770" t="str">
        <f>"9780310345671"</f>
        <v>9780310345671</v>
      </c>
      <c r="T1770" t="str">
        <f>"9780310345688"</f>
        <v>9780310345688</v>
      </c>
      <c r="U1770" t="b">
        <v>0</v>
      </c>
      <c r="W1770" t="b">
        <v>0</v>
      </c>
    </row>
    <row r="1771" spans="1:23" x14ac:dyDescent="0.3">
      <c r="A1771">
        <v>2981040</v>
      </c>
      <c r="B1771">
        <v>34.47</v>
      </c>
      <c r="C1771" t="s">
        <v>3971</v>
      </c>
      <c r="E1771" t="s">
        <v>23</v>
      </c>
      <c r="F1771" t="s">
        <v>44</v>
      </c>
      <c r="G1771">
        <v>2015</v>
      </c>
      <c r="H1771" t="s">
        <v>3147</v>
      </c>
      <c r="K1771" t="s">
        <v>25</v>
      </c>
      <c r="L1771" t="s">
        <v>30</v>
      </c>
      <c r="M1771" t="b">
        <v>1</v>
      </c>
      <c r="N1771" t="s">
        <v>776</v>
      </c>
      <c r="Q1771" t="b">
        <v>0</v>
      </c>
      <c r="S1771" t="str">
        <f>"9780310736707"</f>
        <v>9780310736707</v>
      </c>
      <c r="T1771" t="str">
        <f>"9780310736721"</f>
        <v>9780310736721</v>
      </c>
      <c r="U1771" t="b">
        <v>0</v>
      </c>
      <c r="W1771" t="b">
        <v>0</v>
      </c>
    </row>
    <row r="1772" spans="1:23" x14ac:dyDescent="0.3">
      <c r="A1772">
        <v>2981039</v>
      </c>
      <c r="B1772">
        <v>55.17</v>
      </c>
      <c r="C1772" t="s">
        <v>3972</v>
      </c>
      <c r="E1772" t="s">
        <v>23</v>
      </c>
      <c r="F1772" t="s">
        <v>44</v>
      </c>
      <c r="G1772">
        <v>2017</v>
      </c>
      <c r="H1772" t="s">
        <v>728</v>
      </c>
      <c r="K1772" t="s">
        <v>25</v>
      </c>
      <c r="L1772" t="s">
        <v>26</v>
      </c>
      <c r="M1772" t="b">
        <v>1</v>
      </c>
      <c r="N1772" t="s">
        <v>3973</v>
      </c>
      <c r="P1772" t="s">
        <v>3974</v>
      </c>
      <c r="Q1772" t="b">
        <v>1</v>
      </c>
      <c r="S1772" t="str">
        <f>"9780310345473"</f>
        <v>9780310345473</v>
      </c>
      <c r="T1772" t="str">
        <f>"9780718078027"</f>
        <v>9780718078027</v>
      </c>
      <c r="U1772" t="b">
        <v>0</v>
      </c>
      <c r="W1772" t="b">
        <v>0</v>
      </c>
    </row>
    <row r="1773" spans="1:23" x14ac:dyDescent="0.3">
      <c r="A1773">
        <v>2981038</v>
      </c>
      <c r="B1773">
        <v>46.16</v>
      </c>
      <c r="C1773" t="s">
        <v>3975</v>
      </c>
      <c r="D1773" t="s">
        <v>3976</v>
      </c>
      <c r="E1773" t="s">
        <v>23</v>
      </c>
      <c r="F1773" t="s">
        <v>44</v>
      </c>
      <c r="G1773">
        <v>2009</v>
      </c>
      <c r="H1773" t="s">
        <v>1208</v>
      </c>
      <c r="K1773" t="s">
        <v>25</v>
      </c>
      <c r="L1773" t="s">
        <v>26</v>
      </c>
      <c r="M1773" t="b">
        <v>1</v>
      </c>
      <c r="N1773" t="s">
        <v>3173</v>
      </c>
      <c r="Q1773" t="b">
        <v>0</v>
      </c>
      <c r="T1773" t="str">
        <f>"9780310857969"</f>
        <v>9780310857969</v>
      </c>
      <c r="U1773" t="b">
        <v>0</v>
      </c>
      <c r="W1773" t="b">
        <v>0</v>
      </c>
    </row>
    <row r="1774" spans="1:23" x14ac:dyDescent="0.3">
      <c r="A1774">
        <v>2981037</v>
      </c>
      <c r="B1774">
        <v>58.62</v>
      </c>
      <c r="C1774" t="s">
        <v>3977</v>
      </c>
      <c r="D1774" t="s">
        <v>3978</v>
      </c>
      <c r="E1774" t="s">
        <v>23</v>
      </c>
      <c r="F1774" t="s">
        <v>44</v>
      </c>
      <c r="G1774">
        <v>2017</v>
      </c>
      <c r="H1774" t="s">
        <v>62</v>
      </c>
      <c r="K1774" t="s">
        <v>25</v>
      </c>
      <c r="L1774" t="s">
        <v>26</v>
      </c>
      <c r="M1774" t="b">
        <v>1</v>
      </c>
      <c r="N1774" t="s">
        <v>3979</v>
      </c>
      <c r="Q1774" t="b">
        <v>0</v>
      </c>
      <c r="S1774" t="str">
        <f>"9780310349761"</f>
        <v>9780310349761</v>
      </c>
      <c r="T1774" t="str">
        <f>"9780310350545"</f>
        <v>9780310350545</v>
      </c>
      <c r="U1774" t="b">
        <v>0</v>
      </c>
      <c r="W1774" t="b">
        <v>0</v>
      </c>
    </row>
    <row r="1775" spans="1:23" x14ac:dyDescent="0.3">
      <c r="A1775">
        <v>2981036</v>
      </c>
      <c r="B1775">
        <v>68.97</v>
      </c>
      <c r="C1775" t="s">
        <v>3980</v>
      </c>
      <c r="E1775" t="s">
        <v>23</v>
      </c>
      <c r="F1775" t="s">
        <v>44</v>
      </c>
      <c r="G1775">
        <v>2020</v>
      </c>
      <c r="H1775" t="s">
        <v>880</v>
      </c>
      <c r="K1775" t="s">
        <v>25</v>
      </c>
      <c r="L1775" t="s">
        <v>26</v>
      </c>
      <c r="M1775" t="b">
        <v>1</v>
      </c>
      <c r="N1775" t="s">
        <v>120</v>
      </c>
      <c r="Q1775" t="b">
        <v>0</v>
      </c>
      <c r="S1775" t="str">
        <f>"9780310329046"</f>
        <v>9780310329046</v>
      </c>
      <c r="T1775" t="str">
        <f>"9780310591719"</f>
        <v>9780310591719</v>
      </c>
      <c r="U1775" t="b">
        <v>0</v>
      </c>
      <c r="W1775" t="b">
        <v>0</v>
      </c>
    </row>
    <row r="1776" spans="1:23" x14ac:dyDescent="0.3">
      <c r="A1776">
        <v>2981035</v>
      </c>
      <c r="B1776">
        <v>27.57</v>
      </c>
      <c r="C1776" t="s">
        <v>3981</v>
      </c>
      <c r="E1776" t="s">
        <v>23</v>
      </c>
      <c r="F1776" t="s">
        <v>44</v>
      </c>
      <c r="G1776">
        <v>2015</v>
      </c>
      <c r="H1776" t="s">
        <v>728</v>
      </c>
      <c r="K1776" t="s">
        <v>25</v>
      </c>
      <c r="L1776" t="s">
        <v>30</v>
      </c>
      <c r="M1776" t="b">
        <v>1</v>
      </c>
      <c r="N1776" t="s">
        <v>773</v>
      </c>
      <c r="P1776" t="s">
        <v>3982</v>
      </c>
      <c r="Q1776" t="b">
        <v>1</v>
      </c>
      <c r="S1776" t="str">
        <f>"9780310354437"</f>
        <v>9780310354437</v>
      </c>
      <c r="T1776" t="str">
        <f>"9780310339588"</f>
        <v>9780310339588</v>
      </c>
      <c r="U1776" t="b">
        <v>0</v>
      </c>
      <c r="W1776" t="b">
        <v>0</v>
      </c>
    </row>
    <row r="1777" spans="1:23" x14ac:dyDescent="0.3">
      <c r="A1777">
        <v>2981034</v>
      </c>
      <c r="B1777">
        <v>65.52</v>
      </c>
      <c r="C1777" t="s">
        <v>3983</v>
      </c>
      <c r="D1777" t="s">
        <v>3984</v>
      </c>
      <c r="E1777" t="s">
        <v>23</v>
      </c>
      <c r="F1777" t="s">
        <v>44</v>
      </c>
      <c r="G1777">
        <v>2019</v>
      </c>
      <c r="H1777" t="s">
        <v>132</v>
      </c>
      <c r="K1777" t="s">
        <v>25</v>
      </c>
      <c r="L1777" t="s">
        <v>26</v>
      </c>
      <c r="M1777" t="b">
        <v>1</v>
      </c>
      <c r="N1777" t="s">
        <v>2309</v>
      </c>
      <c r="Q1777" t="b">
        <v>0</v>
      </c>
      <c r="S1777" t="str">
        <f>"9780310356882"</f>
        <v>9780310356882</v>
      </c>
      <c r="T1777" t="str">
        <f>"9780310356899"</f>
        <v>9780310356899</v>
      </c>
      <c r="U1777" t="b">
        <v>0</v>
      </c>
      <c r="W1777" t="b">
        <v>0</v>
      </c>
    </row>
    <row r="1778" spans="1:23" x14ac:dyDescent="0.3">
      <c r="A1778">
        <v>2981033</v>
      </c>
      <c r="B1778">
        <v>71.03</v>
      </c>
      <c r="C1778" t="s">
        <v>3985</v>
      </c>
      <c r="E1778" t="s">
        <v>23</v>
      </c>
      <c r="F1778" t="s">
        <v>44</v>
      </c>
      <c r="G1778">
        <v>2018</v>
      </c>
      <c r="H1778" t="s">
        <v>3986</v>
      </c>
      <c r="K1778" t="s">
        <v>25</v>
      </c>
      <c r="L1778" t="s">
        <v>30</v>
      </c>
      <c r="M1778" t="b">
        <v>1</v>
      </c>
      <c r="N1778" t="s">
        <v>2609</v>
      </c>
      <c r="Q1778" t="b">
        <v>0</v>
      </c>
      <c r="T1778" t="str">
        <f>"9780310749400"</f>
        <v>9780310749400</v>
      </c>
      <c r="U1778" t="b">
        <v>0</v>
      </c>
      <c r="W1778" t="b">
        <v>0</v>
      </c>
    </row>
    <row r="1779" spans="1:23" x14ac:dyDescent="0.3">
      <c r="A1779">
        <v>2981032</v>
      </c>
      <c r="B1779">
        <v>44.82</v>
      </c>
      <c r="C1779" t="s">
        <v>3987</v>
      </c>
      <c r="D1779" t="s">
        <v>3988</v>
      </c>
      <c r="E1779" t="s">
        <v>23</v>
      </c>
      <c r="F1779" t="s">
        <v>44</v>
      </c>
      <c r="G1779">
        <v>2010</v>
      </c>
      <c r="H1779" t="s">
        <v>62</v>
      </c>
      <c r="K1779" t="s">
        <v>25</v>
      </c>
      <c r="L1779" t="s">
        <v>30</v>
      </c>
      <c r="M1779" t="b">
        <v>1</v>
      </c>
      <c r="N1779" t="s">
        <v>3989</v>
      </c>
      <c r="Q1779" t="b">
        <v>0</v>
      </c>
      <c r="S1779" t="str">
        <f>"9780310239963"</f>
        <v>9780310239963</v>
      </c>
      <c r="T1779" t="str">
        <f>"9780310861744"</f>
        <v>9780310861744</v>
      </c>
      <c r="U1779" t="b">
        <v>0</v>
      </c>
      <c r="W1779" t="b">
        <v>0</v>
      </c>
    </row>
    <row r="1780" spans="1:23" x14ac:dyDescent="0.3">
      <c r="A1780">
        <v>2981031</v>
      </c>
      <c r="B1780">
        <v>51.72</v>
      </c>
      <c r="C1780" t="s">
        <v>3990</v>
      </c>
      <c r="D1780" t="s">
        <v>3991</v>
      </c>
      <c r="E1780" t="s">
        <v>23</v>
      </c>
      <c r="F1780" t="s">
        <v>44</v>
      </c>
      <c r="G1780">
        <v>2016</v>
      </c>
      <c r="H1780" t="s">
        <v>132</v>
      </c>
      <c r="K1780" t="s">
        <v>25</v>
      </c>
      <c r="L1780" t="s">
        <v>26</v>
      </c>
      <c r="M1780" t="b">
        <v>1</v>
      </c>
      <c r="N1780" t="s">
        <v>44</v>
      </c>
      <c r="Q1780" t="b">
        <v>0</v>
      </c>
      <c r="S1780" t="str">
        <f>"9780310356080"</f>
        <v>9780310356080</v>
      </c>
      <c r="T1780" t="str">
        <f>"9780310356073"</f>
        <v>9780310356073</v>
      </c>
      <c r="U1780" t="b">
        <v>0</v>
      </c>
      <c r="W1780" t="b">
        <v>0</v>
      </c>
    </row>
    <row r="1781" spans="1:23" x14ac:dyDescent="0.3">
      <c r="A1781">
        <v>2981030</v>
      </c>
      <c r="B1781">
        <v>17.22</v>
      </c>
      <c r="C1781" t="s">
        <v>3992</v>
      </c>
      <c r="D1781" t="s">
        <v>143</v>
      </c>
      <c r="E1781" t="s">
        <v>23</v>
      </c>
      <c r="F1781" t="s">
        <v>44</v>
      </c>
      <c r="G1781">
        <v>2011</v>
      </c>
      <c r="H1781" t="s">
        <v>34</v>
      </c>
      <c r="K1781" t="s">
        <v>25</v>
      </c>
      <c r="L1781" t="s">
        <v>30</v>
      </c>
      <c r="M1781" t="b">
        <v>1</v>
      </c>
      <c r="N1781" t="s">
        <v>1690</v>
      </c>
      <c r="P1781" t="s">
        <v>1691</v>
      </c>
      <c r="Q1781" t="b">
        <v>1</v>
      </c>
      <c r="S1781" t="str">
        <f>"9780310716051"</f>
        <v>9780310716051</v>
      </c>
      <c r="T1781" t="str">
        <f>"9780310862536"</f>
        <v>9780310862536</v>
      </c>
      <c r="U1781" t="b">
        <v>0</v>
      </c>
      <c r="W1781" t="b">
        <v>0</v>
      </c>
    </row>
    <row r="1782" spans="1:23" x14ac:dyDescent="0.3">
      <c r="A1782">
        <v>2981029</v>
      </c>
      <c r="B1782">
        <v>42.61</v>
      </c>
      <c r="C1782" t="s">
        <v>3993</v>
      </c>
      <c r="E1782" t="s">
        <v>23</v>
      </c>
      <c r="F1782" t="s">
        <v>44</v>
      </c>
      <c r="G1782">
        <v>2009</v>
      </c>
      <c r="H1782" t="s">
        <v>74</v>
      </c>
      <c r="K1782" t="s">
        <v>25</v>
      </c>
      <c r="L1782" t="s">
        <v>30</v>
      </c>
      <c r="M1782" t="b">
        <v>1</v>
      </c>
      <c r="N1782" t="s">
        <v>3139</v>
      </c>
      <c r="Q1782" t="b">
        <v>1</v>
      </c>
      <c r="T1782" t="str">
        <f>"9780310561354"</f>
        <v>9780310561354</v>
      </c>
      <c r="U1782" t="b">
        <v>0</v>
      </c>
      <c r="W1782" t="b">
        <v>0</v>
      </c>
    </row>
    <row r="1783" spans="1:23" x14ac:dyDescent="0.3">
      <c r="A1783">
        <v>2981028</v>
      </c>
      <c r="B1783">
        <v>34.47</v>
      </c>
      <c r="C1783" t="s">
        <v>3994</v>
      </c>
      <c r="D1783" t="s">
        <v>3995</v>
      </c>
      <c r="E1783" t="s">
        <v>23</v>
      </c>
      <c r="F1783" t="s">
        <v>44</v>
      </c>
      <c r="G1783">
        <v>2010</v>
      </c>
      <c r="H1783" t="s">
        <v>3996</v>
      </c>
      <c r="K1783" t="s">
        <v>25</v>
      </c>
      <c r="L1783" t="s">
        <v>30</v>
      </c>
      <c r="M1783" t="b">
        <v>1</v>
      </c>
      <c r="N1783" t="s">
        <v>102</v>
      </c>
      <c r="Q1783" t="b">
        <v>0</v>
      </c>
      <c r="S1783" t="str">
        <f>"9780310253082"</f>
        <v>9780310253082</v>
      </c>
      <c r="T1783" t="str">
        <f>"9780310862512"</f>
        <v>9780310862512</v>
      </c>
      <c r="U1783" t="b">
        <v>0</v>
      </c>
      <c r="W1783" t="b">
        <v>0</v>
      </c>
    </row>
    <row r="1784" spans="1:23" x14ac:dyDescent="0.3">
      <c r="A1784">
        <v>2981027</v>
      </c>
      <c r="B1784">
        <v>42.61</v>
      </c>
      <c r="C1784" t="s">
        <v>3997</v>
      </c>
      <c r="D1784" t="s">
        <v>3998</v>
      </c>
      <c r="E1784" t="s">
        <v>23</v>
      </c>
      <c r="F1784" t="s">
        <v>44</v>
      </c>
      <c r="G1784">
        <v>2010</v>
      </c>
      <c r="H1784" t="s">
        <v>58</v>
      </c>
      <c r="K1784" t="s">
        <v>25</v>
      </c>
      <c r="L1784" t="s">
        <v>30</v>
      </c>
      <c r="M1784" t="b">
        <v>1</v>
      </c>
      <c r="N1784" t="s">
        <v>3999</v>
      </c>
      <c r="Q1784" t="b">
        <v>0</v>
      </c>
      <c r="T1784" t="str">
        <f>"9780310395782"</f>
        <v>9780310395782</v>
      </c>
      <c r="U1784" t="b">
        <v>0</v>
      </c>
      <c r="W1784" t="b">
        <v>0</v>
      </c>
    </row>
    <row r="1785" spans="1:23" x14ac:dyDescent="0.3">
      <c r="A1785">
        <v>2981026</v>
      </c>
      <c r="B1785">
        <v>44.82</v>
      </c>
      <c r="C1785" t="s">
        <v>4000</v>
      </c>
      <c r="D1785" t="s">
        <v>4001</v>
      </c>
      <c r="E1785" t="s">
        <v>23</v>
      </c>
      <c r="F1785" t="s">
        <v>44</v>
      </c>
      <c r="G1785">
        <v>2009</v>
      </c>
      <c r="H1785" t="s">
        <v>58</v>
      </c>
      <c r="I1785" t="s">
        <v>4002</v>
      </c>
      <c r="J1785" t="s">
        <v>895</v>
      </c>
      <c r="K1785" t="s">
        <v>25</v>
      </c>
      <c r="L1785" t="s">
        <v>30</v>
      </c>
      <c r="M1785" t="b">
        <v>1</v>
      </c>
      <c r="N1785" t="s">
        <v>4003</v>
      </c>
      <c r="O1785" t="str">
        <f>"916.04/33092;B"</f>
        <v>916.04/33092;B</v>
      </c>
      <c r="Q1785" t="b">
        <v>0</v>
      </c>
      <c r="S1785" t="str">
        <f>"9780310274353"</f>
        <v>9780310274353</v>
      </c>
      <c r="T1785" t="str">
        <f>"9780310540748"</f>
        <v>9780310540748</v>
      </c>
      <c r="U1785" t="b">
        <v>0</v>
      </c>
      <c r="W1785" t="b">
        <v>0</v>
      </c>
    </row>
    <row r="1786" spans="1:23" x14ac:dyDescent="0.3">
      <c r="A1786">
        <v>2981025</v>
      </c>
      <c r="B1786">
        <v>55.17</v>
      </c>
      <c r="C1786" t="s">
        <v>4004</v>
      </c>
      <c r="D1786" t="s">
        <v>4005</v>
      </c>
      <c r="E1786" t="s">
        <v>23</v>
      </c>
      <c r="F1786" t="s">
        <v>44</v>
      </c>
      <c r="G1786">
        <v>2010</v>
      </c>
      <c r="H1786" t="s">
        <v>912</v>
      </c>
      <c r="K1786" t="s">
        <v>25</v>
      </c>
      <c r="L1786" t="s">
        <v>30</v>
      </c>
      <c r="M1786" t="b">
        <v>1</v>
      </c>
      <c r="N1786" t="s">
        <v>4006</v>
      </c>
      <c r="Q1786" t="b">
        <v>0</v>
      </c>
      <c r="S1786" t="str">
        <f>"9780310213017"</f>
        <v>9780310213017</v>
      </c>
      <c r="T1786" t="str">
        <f>"9780310877585"</f>
        <v>9780310877585</v>
      </c>
      <c r="U1786" t="b">
        <v>0</v>
      </c>
      <c r="W1786" t="b">
        <v>0</v>
      </c>
    </row>
    <row r="1787" spans="1:23" x14ac:dyDescent="0.3">
      <c r="A1787">
        <v>2981024</v>
      </c>
      <c r="B1787">
        <v>39.049999999999997</v>
      </c>
      <c r="C1787" t="s">
        <v>4007</v>
      </c>
      <c r="D1787" t="s">
        <v>4008</v>
      </c>
      <c r="E1787" t="s">
        <v>23</v>
      </c>
      <c r="F1787" t="s">
        <v>44</v>
      </c>
      <c r="G1787">
        <v>2010</v>
      </c>
      <c r="H1787" t="s">
        <v>107</v>
      </c>
      <c r="K1787" t="s">
        <v>25</v>
      </c>
      <c r="L1787" t="s">
        <v>30</v>
      </c>
      <c r="M1787" t="b">
        <v>1</v>
      </c>
      <c r="N1787" t="s">
        <v>4009</v>
      </c>
      <c r="P1787" t="s">
        <v>4010</v>
      </c>
      <c r="Q1787" t="b">
        <v>1</v>
      </c>
      <c r="T1787" t="str">
        <f>"9780310585817"</f>
        <v>9780310585817</v>
      </c>
      <c r="U1787" t="b">
        <v>0</v>
      </c>
      <c r="W1787" t="b">
        <v>0</v>
      </c>
    </row>
    <row r="1788" spans="1:23" x14ac:dyDescent="0.3">
      <c r="A1788">
        <v>2981023</v>
      </c>
      <c r="B1788">
        <v>58.62</v>
      </c>
      <c r="C1788" t="s">
        <v>4011</v>
      </c>
      <c r="D1788" t="s">
        <v>4012</v>
      </c>
      <c r="E1788" t="s">
        <v>23</v>
      </c>
      <c r="F1788" t="s">
        <v>44</v>
      </c>
      <c r="G1788">
        <v>2016</v>
      </c>
      <c r="H1788" t="s">
        <v>107</v>
      </c>
      <c r="I1788" t="s">
        <v>4013</v>
      </c>
      <c r="J1788" t="s">
        <v>4014</v>
      </c>
      <c r="K1788" t="s">
        <v>25</v>
      </c>
      <c r="L1788" t="s">
        <v>26</v>
      </c>
      <c r="M1788" t="b">
        <v>1</v>
      </c>
      <c r="N1788" t="s">
        <v>4015</v>
      </c>
      <c r="O1788" t="str">
        <f>"277/.3083092"</f>
        <v>277/.3083092</v>
      </c>
      <c r="Q1788" t="b">
        <v>0</v>
      </c>
      <c r="S1788" t="str">
        <f>"9780310343707"</f>
        <v>9780310343707</v>
      </c>
      <c r="T1788" t="str">
        <f>"9780310343936"</f>
        <v>9780310343936</v>
      </c>
      <c r="U1788" t="b">
        <v>0</v>
      </c>
      <c r="W1788" t="b">
        <v>0</v>
      </c>
    </row>
    <row r="1789" spans="1:23" x14ac:dyDescent="0.3">
      <c r="A1789">
        <v>2981022</v>
      </c>
      <c r="B1789">
        <v>34.47</v>
      </c>
      <c r="C1789" t="s">
        <v>4016</v>
      </c>
      <c r="D1789" t="s">
        <v>4017</v>
      </c>
      <c r="E1789" t="s">
        <v>23</v>
      </c>
      <c r="F1789" t="s">
        <v>44</v>
      </c>
      <c r="G1789">
        <v>2004</v>
      </c>
      <c r="H1789" t="s">
        <v>4018</v>
      </c>
      <c r="I1789" t="s">
        <v>4019</v>
      </c>
      <c r="J1789" t="s">
        <v>4020</v>
      </c>
      <c r="K1789" t="s">
        <v>25</v>
      </c>
      <c r="L1789" t="s">
        <v>30</v>
      </c>
      <c r="M1789" t="b">
        <v>1</v>
      </c>
      <c r="N1789" t="s">
        <v>4021</v>
      </c>
      <c r="O1789" t="str">
        <f>"261.2/6/0973"</f>
        <v>261.2/6/0973</v>
      </c>
      <c r="Q1789" t="b">
        <v>0</v>
      </c>
      <c r="S1789" t="str">
        <f>"9780310255642"</f>
        <v>9780310255642</v>
      </c>
      <c r="T1789" t="str">
        <f>"9780310863113"</f>
        <v>9780310863113</v>
      </c>
      <c r="U1789" t="b">
        <v>0</v>
      </c>
      <c r="W1789" t="b">
        <v>0</v>
      </c>
    </row>
    <row r="1790" spans="1:23" x14ac:dyDescent="0.3">
      <c r="A1790">
        <v>2981021</v>
      </c>
      <c r="B1790">
        <v>39.049999999999997</v>
      </c>
      <c r="C1790" t="s">
        <v>4022</v>
      </c>
      <c r="E1790" t="s">
        <v>23</v>
      </c>
      <c r="F1790" t="s">
        <v>44</v>
      </c>
      <c r="G1790">
        <v>2009</v>
      </c>
      <c r="H1790" t="s">
        <v>66</v>
      </c>
      <c r="K1790" t="s">
        <v>25</v>
      </c>
      <c r="L1790" t="s">
        <v>30</v>
      </c>
      <c r="M1790" t="b">
        <v>1</v>
      </c>
      <c r="N1790" t="s">
        <v>77</v>
      </c>
      <c r="P1790" t="s">
        <v>3054</v>
      </c>
      <c r="Q1790" t="b">
        <v>1</v>
      </c>
      <c r="T1790" t="str">
        <f>"9780310298359"</f>
        <v>9780310298359</v>
      </c>
      <c r="U1790" t="b">
        <v>0</v>
      </c>
      <c r="W1790" t="b">
        <v>0</v>
      </c>
    </row>
    <row r="1791" spans="1:23" x14ac:dyDescent="0.3">
      <c r="A1791">
        <v>2981020</v>
      </c>
      <c r="B1791">
        <v>3.52</v>
      </c>
      <c r="C1791" t="s">
        <v>4023</v>
      </c>
      <c r="D1791" t="s">
        <v>3950</v>
      </c>
      <c r="E1791" t="s">
        <v>23</v>
      </c>
      <c r="F1791" t="s">
        <v>44</v>
      </c>
      <c r="G1791">
        <v>2020</v>
      </c>
      <c r="H1791" t="s">
        <v>1848</v>
      </c>
      <c r="I1791" t="s">
        <v>4024</v>
      </c>
      <c r="J1791" t="s">
        <v>4025</v>
      </c>
      <c r="K1791" t="s">
        <v>25</v>
      </c>
      <c r="L1791" t="s">
        <v>26</v>
      </c>
      <c r="M1791" t="b">
        <v>1</v>
      </c>
      <c r="N1791" t="s">
        <v>3951</v>
      </c>
      <c r="O1791" t="str">
        <f>"248.4"</f>
        <v>248.4</v>
      </c>
      <c r="Q1791" t="b">
        <v>0</v>
      </c>
      <c r="T1791" t="str">
        <f>"9780310737162"</f>
        <v>9780310737162</v>
      </c>
      <c r="U1791" t="b">
        <v>0</v>
      </c>
      <c r="W1791" t="b">
        <v>0</v>
      </c>
    </row>
    <row r="1792" spans="1:23" x14ac:dyDescent="0.3">
      <c r="A1792">
        <v>2981019</v>
      </c>
      <c r="B1792">
        <v>86.22</v>
      </c>
      <c r="C1792" t="s">
        <v>4026</v>
      </c>
      <c r="D1792" t="s">
        <v>4027</v>
      </c>
      <c r="E1792" t="s">
        <v>23</v>
      </c>
      <c r="F1792" t="s">
        <v>44</v>
      </c>
      <c r="G1792">
        <v>2021</v>
      </c>
      <c r="H1792" t="s">
        <v>24</v>
      </c>
      <c r="K1792" t="s">
        <v>25</v>
      </c>
      <c r="L1792" t="s">
        <v>26</v>
      </c>
      <c r="M1792" t="b">
        <v>1</v>
      </c>
      <c r="N1792" t="s">
        <v>764</v>
      </c>
      <c r="Q1792" t="b">
        <v>0</v>
      </c>
      <c r="S1792" t="str">
        <f>"9780310359166"</f>
        <v>9780310359166</v>
      </c>
      <c r="T1792" t="str">
        <f>"9780310359173"</f>
        <v>9780310359173</v>
      </c>
      <c r="U1792" t="b">
        <v>0</v>
      </c>
      <c r="W1792" t="b">
        <v>0</v>
      </c>
    </row>
    <row r="1793" spans="1:23" x14ac:dyDescent="0.3">
      <c r="A1793">
        <v>2981018</v>
      </c>
      <c r="B1793">
        <v>34.47</v>
      </c>
      <c r="C1793" t="s">
        <v>4028</v>
      </c>
      <c r="E1793" t="s">
        <v>23</v>
      </c>
      <c r="F1793" t="s">
        <v>44</v>
      </c>
      <c r="G1793">
        <v>2011</v>
      </c>
      <c r="H1793" t="s">
        <v>4029</v>
      </c>
      <c r="K1793" t="s">
        <v>25</v>
      </c>
      <c r="L1793" t="s">
        <v>30</v>
      </c>
      <c r="M1793" t="b">
        <v>1</v>
      </c>
      <c r="N1793" t="s">
        <v>408</v>
      </c>
      <c r="P1793" t="s">
        <v>4030</v>
      </c>
      <c r="Q1793" t="b">
        <v>0</v>
      </c>
      <c r="S1793" t="str">
        <f>"9780310748878"</f>
        <v>9780310748878</v>
      </c>
      <c r="T1793" t="str">
        <f>"9780310426738"</f>
        <v>9780310426738</v>
      </c>
      <c r="U1793" t="b">
        <v>0</v>
      </c>
      <c r="W1793" t="b">
        <v>0</v>
      </c>
    </row>
    <row r="1794" spans="1:23" x14ac:dyDescent="0.3">
      <c r="A1794">
        <v>2981017</v>
      </c>
      <c r="B1794">
        <v>51.72</v>
      </c>
      <c r="C1794" t="s">
        <v>4031</v>
      </c>
      <c r="D1794" t="s">
        <v>4032</v>
      </c>
      <c r="E1794" t="s">
        <v>23</v>
      </c>
      <c r="F1794" t="s">
        <v>44</v>
      </c>
      <c r="G1794">
        <v>2010</v>
      </c>
      <c r="H1794" t="s">
        <v>756</v>
      </c>
      <c r="K1794" t="s">
        <v>25</v>
      </c>
      <c r="L1794" t="s">
        <v>30</v>
      </c>
      <c r="M1794" t="b">
        <v>1</v>
      </c>
      <c r="N1794" t="s">
        <v>4033</v>
      </c>
      <c r="Q1794" t="b">
        <v>0</v>
      </c>
      <c r="S1794" t="str">
        <f>"9780310318873"</f>
        <v>9780310318873</v>
      </c>
      <c r="T1794" t="str">
        <f>"9780310395652"</f>
        <v>9780310395652</v>
      </c>
      <c r="U1794" t="b">
        <v>0</v>
      </c>
      <c r="W1794" t="b">
        <v>0</v>
      </c>
    </row>
    <row r="1795" spans="1:23" x14ac:dyDescent="0.3">
      <c r="A1795">
        <v>2981016</v>
      </c>
      <c r="B1795">
        <v>86.22</v>
      </c>
      <c r="C1795" t="s">
        <v>4034</v>
      </c>
      <c r="D1795" t="s">
        <v>4035</v>
      </c>
      <c r="E1795" t="s">
        <v>23</v>
      </c>
      <c r="F1795" t="s">
        <v>44</v>
      </c>
      <c r="G1795">
        <v>2020</v>
      </c>
      <c r="H1795" t="s">
        <v>62</v>
      </c>
      <c r="K1795" t="s">
        <v>25</v>
      </c>
      <c r="L1795" t="s">
        <v>26</v>
      </c>
      <c r="M1795" t="b">
        <v>1</v>
      </c>
      <c r="N1795" t="s">
        <v>4036</v>
      </c>
      <c r="Q1795" t="b">
        <v>0</v>
      </c>
      <c r="S1795" t="str">
        <f>"9780310344575"</f>
        <v>9780310344575</v>
      </c>
      <c r="T1795" t="str">
        <f>"9780310344599"</f>
        <v>9780310344599</v>
      </c>
      <c r="U1795" t="b">
        <v>0</v>
      </c>
      <c r="W1795" t="b">
        <v>0</v>
      </c>
    </row>
    <row r="1796" spans="1:23" x14ac:dyDescent="0.3">
      <c r="A1796">
        <v>2981015</v>
      </c>
      <c r="B1796">
        <v>42.61</v>
      </c>
      <c r="C1796" t="s">
        <v>4037</v>
      </c>
      <c r="E1796" t="s">
        <v>23</v>
      </c>
      <c r="F1796" t="s">
        <v>44</v>
      </c>
      <c r="G1796">
        <v>2010</v>
      </c>
      <c r="H1796" t="s">
        <v>74</v>
      </c>
      <c r="K1796" t="s">
        <v>25</v>
      </c>
      <c r="L1796" t="s">
        <v>30</v>
      </c>
      <c r="M1796" t="b">
        <v>1</v>
      </c>
      <c r="N1796" t="s">
        <v>776</v>
      </c>
      <c r="Q1796" t="b">
        <v>1</v>
      </c>
      <c r="T1796" t="str">
        <f>"9780310590385"</f>
        <v>9780310590385</v>
      </c>
      <c r="U1796" t="b">
        <v>0</v>
      </c>
      <c r="W1796" t="b">
        <v>0</v>
      </c>
    </row>
    <row r="1797" spans="1:23" x14ac:dyDescent="0.3">
      <c r="A1797">
        <v>2981014</v>
      </c>
      <c r="B1797">
        <v>51.72</v>
      </c>
      <c r="C1797" t="s">
        <v>4038</v>
      </c>
      <c r="D1797" t="s">
        <v>1405</v>
      </c>
      <c r="E1797" t="s">
        <v>23</v>
      </c>
      <c r="F1797" t="s">
        <v>44</v>
      </c>
      <c r="G1797">
        <v>2010</v>
      </c>
      <c r="H1797" t="s">
        <v>728</v>
      </c>
      <c r="K1797" t="s">
        <v>25</v>
      </c>
      <c r="L1797" t="s">
        <v>30</v>
      </c>
      <c r="M1797" t="b">
        <v>1</v>
      </c>
      <c r="N1797" t="s">
        <v>4039</v>
      </c>
      <c r="Q1797" t="b">
        <v>1</v>
      </c>
      <c r="S1797" t="str">
        <f>"9780310293293"</f>
        <v>9780310293293</v>
      </c>
      <c r="T1797" t="str">
        <f>"9780310565284"</f>
        <v>9780310565284</v>
      </c>
      <c r="U1797" t="b">
        <v>0</v>
      </c>
      <c r="W1797" t="b">
        <v>0</v>
      </c>
    </row>
    <row r="1798" spans="1:23" x14ac:dyDescent="0.3">
      <c r="A1798">
        <v>2981013</v>
      </c>
      <c r="B1798">
        <v>55.17</v>
      </c>
      <c r="C1798" t="s">
        <v>4040</v>
      </c>
      <c r="E1798" t="s">
        <v>23</v>
      </c>
      <c r="F1798" t="s">
        <v>44</v>
      </c>
      <c r="G1798">
        <v>2016</v>
      </c>
      <c r="H1798" t="s">
        <v>849</v>
      </c>
      <c r="K1798" t="s">
        <v>25</v>
      </c>
      <c r="L1798" t="s">
        <v>26</v>
      </c>
      <c r="M1798" t="b">
        <v>1</v>
      </c>
      <c r="N1798" t="s">
        <v>77</v>
      </c>
      <c r="P1798" t="s">
        <v>4041</v>
      </c>
      <c r="Q1798" t="b">
        <v>1</v>
      </c>
      <c r="S1798" t="str">
        <f>"9780310332435"</f>
        <v>9780310332435</v>
      </c>
      <c r="T1798" t="str">
        <f>"9780310332466"</f>
        <v>9780310332466</v>
      </c>
      <c r="U1798" t="b">
        <v>0</v>
      </c>
      <c r="W1798" t="b">
        <v>0</v>
      </c>
    </row>
    <row r="1799" spans="1:23" x14ac:dyDescent="0.3">
      <c r="A1799">
        <v>2981012</v>
      </c>
      <c r="B1799">
        <v>42.61</v>
      </c>
      <c r="C1799" t="s">
        <v>4042</v>
      </c>
      <c r="E1799" t="s">
        <v>23</v>
      </c>
      <c r="F1799" t="s">
        <v>44</v>
      </c>
      <c r="G1799">
        <v>2009</v>
      </c>
      <c r="H1799" t="s">
        <v>4043</v>
      </c>
      <c r="K1799" t="s">
        <v>25</v>
      </c>
      <c r="L1799" t="s">
        <v>30</v>
      </c>
      <c r="M1799" t="b">
        <v>1</v>
      </c>
      <c r="N1799" t="s">
        <v>2952</v>
      </c>
      <c r="P1799" t="s">
        <v>2953</v>
      </c>
      <c r="Q1799" t="b">
        <v>1</v>
      </c>
      <c r="T1799" t="str">
        <f>"9780310560425"</f>
        <v>9780310560425</v>
      </c>
      <c r="U1799" t="b">
        <v>0</v>
      </c>
      <c r="W1799" t="b">
        <v>0</v>
      </c>
    </row>
    <row r="1800" spans="1:23" x14ac:dyDescent="0.3">
      <c r="A1800">
        <v>2981011</v>
      </c>
      <c r="B1800">
        <v>49.71</v>
      </c>
      <c r="C1800" t="s">
        <v>4044</v>
      </c>
      <c r="D1800" t="s">
        <v>4045</v>
      </c>
      <c r="E1800" t="s">
        <v>23</v>
      </c>
      <c r="F1800" t="s">
        <v>44</v>
      </c>
      <c r="G1800">
        <v>2010</v>
      </c>
      <c r="H1800" t="s">
        <v>107</v>
      </c>
      <c r="K1800" t="s">
        <v>25</v>
      </c>
      <c r="L1800" t="s">
        <v>30</v>
      </c>
      <c r="M1800" t="b">
        <v>1</v>
      </c>
      <c r="N1800" t="s">
        <v>4046</v>
      </c>
      <c r="Q1800" t="b">
        <v>0</v>
      </c>
      <c r="T1800" t="str">
        <f>"9780310565581"</f>
        <v>9780310565581</v>
      </c>
      <c r="U1800" t="b">
        <v>0</v>
      </c>
      <c r="W1800" t="b">
        <v>0</v>
      </c>
    </row>
    <row r="1801" spans="1:23" x14ac:dyDescent="0.3">
      <c r="A1801">
        <v>2981010</v>
      </c>
      <c r="B1801">
        <v>27.57</v>
      </c>
      <c r="C1801" t="s">
        <v>4047</v>
      </c>
      <c r="D1801" t="s">
        <v>4048</v>
      </c>
      <c r="E1801" t="s">
        <v>23</v>
      </c>
      <c r="F1801" t="s">
        <v>44</v>
      </c>
      <c r="G1801">
        <v>2014</v>
      </c>
      <c r="H1801" t="s">
        <v>62</v>
      </c>
      <c r="K1801" t="s">
        <v>25</v>
      </c>
      <c r="L1801" t="s">
        <v>30</v>
      </c>
      <c r="M1801" t="b">
        <v>1</v>
      </c>
      <c r="N1801" t="s">
        <v>4049</v>
      </c>
      <c r="P1801" t="s">
        <v>3507</v>
      </c>
      <c r="Q1801" t="b">
        <v>0</v>
      </c>
      <c r="S1801" t="str">
        <f>"9780310433361"</f>
        <v>9780310433361</v>
      </c>
      <c r="T1801" t="str">
        <f>"9780310433798"</f>
        <v>9780310433798</v>
      </c>
      <c r="U1801" t="b">
        <v>0</v>
      </c>
      <c r="W1801" t="b">
        <v>0</v>
      </c>
    </row>
    <row r="1802" spans="1:23" x14ac:dyDescent="0.3">
      <c r="A1802">
        <v>2981009</v>
      </c>
      <c r="B1802">
        <v>34.47</v>
      </c>
      <c r="C1802" t="s">
        <v>4050</v>
      </c>
      <c r="D1802" t="s">
        <v>4051</v>
      </c>
      <c r="E1802" t="s">
        <v>23</v>
      </c>
      <c r="F1802" t="s">
        <v>44</v>
      </c>
      <c r="G1802">
        <v>2010</v>
      </c>
      <c r="H1802" t="s">
        <v>56</v>
      </c>
      <c r="K1802" t="s">
        <v>25</v>
      </c>
      <c r="L1802" t="s">
        <v>30</v>
      </c>
      <c r="M1802" t="b">
        <v>1</v>
      </c>
      <c r="N1802" t="s">
        <v>4052</v>
      </c>
      <c r="Q1802" t="b">
        <v>0</v>
      </c>
      <c r="S1802" t="str">
        <f>"9780310236597"</f>
        <v>9780310236597</v>
      </c>
      <c r="T1802" t="str">
        <f>"9780310863700"</f>
        <v>9780310863700</v>
      </c>
      <c r="U1802" t="b">
        <v>0</v>
      </c>
      <c r="W1802" t="b">
        <v>0</v>
      </c>
    </row>
    <row r="1803" spans="1:23" x14ac:dyDescent="0.3">
      <c r="A1803">
        <v>2981008</v>
      </c>
      <c r="B1803">
        <v>55.17</v>
      </c>
      <c r="C1803" t="s">
        <v>4053</v>
      </c>
      <c r="E1803" t="s">
        <v>23</v>
      </c>
      <c r="F1803" t="s">
        <v>44</v>
      </c>
      <c r="G1803">
        <v>2014</v>
      </c>
      <c r="H1803" t="s">
        <v>728</v>
      </c>
      <c r="K1803" t="s">
        <v>25</v>
      </c>
      <c r="L1803" t="s">
        <v>30</v>
      </c>
      <c r="M1803" t="b">
        <v>1</v>
      </c>
      <c r="N1803" t="s">
        <v>2836</v>
      </c>
      <c r="P1803" t="s">
        <v>2837</v>
      </c>
      <c r="Q1803" t="b">
        <v>1</v>
      </c>
      <c r="S1803" t="str">
        <f>"9780310338406"</f>
        <v>9780310338406</v>
      </c>
      <c r="T1803" t="str">
        <f>"9780310338437"</f>
        <v>9780310338437</v>
      </c>
      <c r="U1803" t="b">
        <v>0</v>
      </c>
      <c r="W1803" t="b">
        <v>0</v>
      </c>
    </row>
    <row r="1804" spans="1:23" x14ac:dyDescent="0.3">
      <c r="A1804">
        <v>2981007</v>
      </c>
      <c r="B1804">
        <v>86.22</v>
      </c>
      <c r="C1804" t="s">
        <v>4054</v>
      </c>
      <c r="D1804" t="s">
        <v>4055</v>
      </c>
      <c r="E1804" t="s">
        <v>23</v>
      </c>
      <c r="F1804" t="s">
        <v>44</v>
      </c>
      <c r="G1804">
        <v>2020</v>
      </c>
      <c r="H1804" t="s">
        <v>804</v>
      </c>
      <c r="I1804" t="s">
        <v>1097</v>
      </c>
      <c r="J1804" t="s">
        <v>3434</v>
      </c>
      <c r="K1804" t="s">
        <v>25</v>
      </c>
      <c r="L1804" t="s">
        <v>26</v>
      </c>
      <c r="M1804" t="b">
        <v>1</v>
      </c>
      <c r="N1804" t="s">
        <v>4056</v>
      </c>
      <c r="O1804" t="str">
        <f>"253"</f>
        <v>253</v>
      </c>
      <c r="Q1804" t="b">
        <v>0</v>
      </c>
      <c r="S1804" t="str">
        <f>"9780310112952"</f>
        <v>9780310112952</v>
      </c>
      <c r="T1804" t="str">
        <f>"9780310112969"</f>
        <v>9780310112969</v>
      </c>
      <c r="U1804" t="b">
        <v>0</v>
      </c>
      <c r="W1804" t="b">
        <v>0</v>
      </c>
    </row>
    <row r="1805" spans="1:23" x14ac:dyDescent="0.3">
      <c r="A1805">
        <v>2981006</v>
      </c>
      <c r="B1805">
        <v>53.27</v>
      </c>
      <c r="C1805" t="s">
        <v>4057</v>
      </c>
      <c r="D1805" t="s">
        <v>4058</v>
      </c>
      <c r="E1805" t="s">
        <v>23</v>
      </c>
      <c r="F1805" t="s">
        <v>44</v>
      </c>
      <c r="G1805">
        <v>2014</v>
      </c>
      <c r="H1805" t="s">
        <v>4059</v>
      </c>
      <c r="K1805" t="s">
        <v>25</v>
      </c>
      <c r="L1805" t="s">
        <v>30</v>
      </c>
      <c r="M1805" t="b">
        <v>1</v>
      </c>
      <c r="N1805" t="s">
        <v>4060</v>
      </c>
      <c r="Q1805" t="b">
        <v>0</v>
      </c>
      <c r="S1805" t="str">
        <f>"9780310339465"</f>
        <v>9780310339465</v>
      </c>
      <c r="T1805" t="str">
        <f>"9780310339489"</f>
        <v>9780310339489</v>
      </c>
      <c r="U1805" t="b">
        <v>0</v>
      </c>
      <c r="W1805" t="b">
        <v>0</v>
      </c>
    </row>
    <row r="1806" spans="1:23" x14ac:dyDescent="0.3">
      <c r="A1806">
        <v>2981005</v>
      </c>
      <c r="B1806">
        <v>51.72</v>
      </c>
      <c r="C1806" t="s">
        <v>4061</v>
      </c>
      <c r="D1806" t="s">
        <v>4062</v>
      </c>
      <c r="E1806" t="s">
        <v>23</v>
      </c>
      <c r="F1806" t="s">
        <v>44</v>
      </c>
      <c r="G1806">
        <v>2010</v>
      </c>
      <c r="H1806" t="s">
        <v>58</v>
      </c>
      <c r="K1806" t="s">
        <v>25</v>
      </c>
      <c r="L1806" t="s">
        <v>30</v>
      </c>
      <c r="M1806" t="b">
        <v>1</v>
      </c>
      <c r="N1806" t="s">
        <v>2883</v>
      </c>
      <c r="Q1806" t="b">
        <v>0</v>
      </c>
      <c r="S1806" t="str">
        <f>"9780310283843"</f>
        <v>9780310283843</v>
      </c>
      <c r="T1806" t="str">
        <f>"9780310560623"</f>
        <v>9780310560623</v>
      </c>
      <c r="U1806" t="b">
        <v>0</v>
      </c>
      <c r="W1806" t="b">
        <v>0</v>
      </c>
    </row>
    <row r="1807" spans="1:23" x14ac:dyDescent="0.3">
      <c r="A1807">
        <v>2981004</v>
      </c>
      <c r="B1807">
        <v>55.17</v>
      </c>
      <c r="C1807" t="s">
        <v>4063</v>
      </c>
      <c r="D1807" t="s">
        <v>4064</v>
      </c>
      <c r="E1807" t="s">
        <v>23</v>
      </c>
      <c r="F1807" t="s">
        <v>44</v>
      </c>
      <c r="G1807">
        <v>2014</v>
      </c>
      <c r="H1807" t="s">
        <v>58</v>
      </c>
      <c r="K1807" t="s">
        <v>25</v>
      </c>
      <c r="L1807" t="s">
        <v>30</v>
      </c>
      <c r="M1807" t="b">
        <v>1</v>
      </c>
      <c r="N1807" t="s">
        <v>4065</v>
      </c>
      <c r="Q1807" t="b">
        <v>0</v>
      </c>
      <c r="S1807" t="str">
        <f>"9780310337409"</f>
        <v>9780310337409</v>
      </c>
      <c r="T1807" t="str">
        <f>"9780310337416"</f>
        <v>9780310337416</v>
      </c>
      <c r="U1807" t="b">
        <v>0</v>
      </c>
      <c r="W1807" t="b">
        <v>0</v>
      </c>
    </row>
    <row r="1808" spans="1:23" x14ac:dyDescent="0.3">
      <c r="A1808">
        <v>2981003</v>
      </c>
      <c r="B1808">
        <v>56.82</v>
      </c>
      <c r="C1808" t="s">
        <v>4066</v>
      </c>
      <c r="E1808" t="s">
        <v>23</v>
      </c>
      <c r="F1808" t="s">
        <v>44</v>
      </c>
      <c r="G1808">
        <v>2009</v>
      </c>
      <c r="H1808" t="s">
        <v>728</v>
      </c>
      <c r="K1808" t="s">
        <v>25</v>
      </c>
      <c r="L1808" t="s">
        <v>30</v>
      </c>
      <c r="M1808" t="b">
        <v>1</v>
      </c>
      <c r="N1808" t="s">
        <v>3066</v>
      </c>
      <c r="P1808" t="s">
        <v>4067</v>
      </c>
      <c r="Q1808" t="b">
        <v>1</v>
      </c>
      <c r="T1808" t="str">
        <f>"9780310833024"</f>
        <v>9780310833024</v>
      </c>
      <c r="U1808" t="b">
        <v>0</v>
      </c>
      <c r="W1808" t="b">
        <v>0</v>
      </c>
    </row>
    <row r="1809" spans="1:23" x14ac:dyDescent="0.3">
      <c r="A1809">
        <v>2981002</v>
      </c>
      <c r="B1809">
        <v>60.37</v>
      </c>
      <c r="C1809" t="s">
        <v>4068</v>
      </c>
      <c r="D1809" t="s">
        <v>4069</v>
      </c>
      <c r="E1809" t="s">
        <v>23</v>
      </c>
      <c r="F1809" t="s">
        <v>44</v>
      </c>
      <c r="G1809">
        <v>2015</v>
      </c>
      <c r="H1809" t="s">
        <v>728</v>
      </c>
      <c r="K1809" t="s">
        <v>25</v>
      </c>
      <c r="L1809" t="s">
        <v>30</v>
      </c>
      <c r="M1809" t="b">
        <v>1</v>
      </c>
      <c r="N1809" t="s">
        <v>31</v>
      </c>
      <c r="P1809" t="s">
        <v>4070</v>
      </c>
      <c r="Q1809" t="b">
        <v>1</v>
      </c>
      <c r="T1809" t="str">
        <f>"9780310346906"</f>
        <v>9780310346906</v>
      </c>
      <c r="U1809" t="b">
        <v>0</v>
      </c>
      <c r="W1809" t="b">
        <v>0</v>
      </c>
    </row>
    <row r="1810" spans="1:23" x14ac:dyDescent="0.3">
      <c r="A1810">
        <v>2981001</v>
      </c>
      <c r="B1810">
        <v>58.62</v>
      </c>
      <c r="C1810" t="s">
        <v>4071</v>
      </c>
      <c r="D1810" t="s">
        <v>4072</v>
      </c>
      <c r="E1810" t="s">
        <v>23</v>
      </c>
      <c r="F1810" t="s">
        <v>44</v>
      </c>
      <c r="G1810">
        <v>2012</v>
      </c>
      <c r="H1810" t="s">
        <v>58</v>
      </c>
      <c r="K1810" t="s">
        <v>25</v>
      </c>
      <c r="L1810" t="s">
        <v>30</v>
      </c>
      <c r="M1810" t="b">
        <v>1</v>
      </c>
      <c r="N1810" t="s">
        <v>3627</v>
      </c>
      <c r="Q1810" t="b">
        <v>0</v>
      </c>
      <c r="S1810" t="str">
        <f>"9780310360728"</f>
        <v>9780310360728</v>
      </c>
      <c r="T1810" t="str">
        <f>"9780310411956"</f>
        <v>9780310411956</v>
      </c>
      <c r="U1810" t="b">
        <v>0</v>
      </c>
      <c r="W1810" t="b">
        <v>0</v>
      </c>
    </row>
    <row r="1811" spans="1:23" x14ac:dyDescent="0.3">
      <c r="A1811">
        <v>2981000</v>
      </c>
      <c r="B1811">
        <v>55.17</v>
      </c>
      <c r="C1811" t="s">
        <v>4073</v>
      </c>
      <c r="D1811" t="s">
        <v>4074</v>
      </c>
      <c r="E1811" t="s">
        <v>23</v>
      </c>
      <c r="F1811" t="s">
        <v>44</v>
      </c>
      <c r="G1811">
        <v>2015</v>
      </c>
      <c r="H1811" t="s">
        <v>58</v>
      </c>
      <c r="K1811" t="s">
        <v>25</v>
      </c>
      <c r="L1811" t="s">
        <v>30</v>
      </c>
      <c r="M1811" t="b">
        <v>1</v>
      </c>
      <c r="N1811" t="s">
        <v>4075</v>
      </c>
      <c r="Q1811" t="b">
        <v>0</v>
      </c>
      <c r="S1811" t="str">
        <f>"9780310325543"</f>
        <v>9780310325543</v>
      </c>
      <c r="T1811" t="str">
        <f>"9780310342182"</f>
        <v>9780310342182</v>
      </c>
      <c r="U1811" t="b">
        <v>0</v>
      </c>
      <c r="W1811" t="b">
        <v>0</v>
      </c>
    </row>
    <row r="1812" spans="1:23" x14ac:dyDescent="0.3">
      <c r="A1812">
        <v>2980999</v>
      </c>
      <c r="B1812">
        <v>44.82</v>
      </c>
      <c r="C1812" t="s">
        <v>4076</v>
      </c>
      <c r="D1812" t="s">
        <v>4077</v>
      </c>
      <c r="E1812" t="s">
        <v>23</v>
      </c>
      <c r="F1812" t="s">
        <v>44</v>
      </c>
      <c r="G1812">
        <v>2009</v>
      </c>
      <c r="H1812" t="s">
        <v>728</v>
      </c>
      <c r="K1812" t="s">
        <v>25</v>
      </c>
      <c r="L1812" t="s">
        <v>30</v>
      </c>
      <c r="M1812" t="b">
        <v>1</v>
      </c>
      <c r="N1812" t="s">
        <v>3066</v>
      </c>
      <c r="P1812" t="s">
        <v>3412</v>
      </c>
      <c r="Q1812" t="b">
        <v>1</v>
      </c>
      <c r="S1812" t="str">
        <f>"9780310669616"</f>
        <v>9780310669616</v>
      </c>
      <c r="T1812" t="str">
        <f>"9780310832966"</f>
        <v>9780310832966</v>
      </c>
      <c r="U1812" t="b">
        <v>0</v>
      </c>
      <c r="W1812" t="b">
        <v>0</v>
      </c>
    </row>
    <row r="1813" spans="1:23" x14ac:dyDescent="0.3">
      <c r="A1813">
        <v>2980998</v>
      </c>
      <c r="B1813">
        <v>58.62</v>
      </c>
      <c r="C1813" t="s">
        <v>4078</v>
      </c>
      <c r="D1813" t="s">
        <v>4079</v>
      </c>
      <c r="E1813" t="s">
        <v>23</v>
      </c>
      <c r="F1813" t="s">
        <v>44</v>
      </c>
      <c r="G1813">
        <v>2013</v>
      </c>
      <c r="H1813" t="s">
        <v>1213</v>
      </c>
      <c r="I1813" t="s">
        <v>1214</v>
      </c>
      <c r="J1813" t="s">
        <v>4080</v>
      </c>
      <c r="K1813" t="s">
        <v>25</v>
      </c>
      <c r="L1813" t="s">
        <v>26</v>
      </c>
      <c r="M1813" t="b">
        <v>1</v>
      </c>
      <c r="N1813" t="s">
        <v>4081</v>
      </c>
      <c r="O1813" t="str">
        <f>"332.024"</f>
        <v>332.024</v>
      </c>
      <c r="Q1813" t="b">
        <v>0</v>
      </c>
      <c r="S1813" t="str">
        <f>"9780310338338"</f>
        <v>9780310338338</v>
      </c>
      <c r="T1813" t="str">
        <f>"9780310338468"</f>
        <v>9780310338468</v>
      </c>
      <c r="U1813" t="b">
        <v>0</v>
      </c>
      <c r="W1813" t="b">
        <v>0</v>
      </c>
    </row>
    <row r="1814" spans="1:23" x14ac:dyDescent="0.3">
      <c r="A1814">
        <v>2980997</v>
      </c>
      <c r="B1814">
        <v>88.8</v>
      </c>
      <c r="C1814" t="s">
        <v>4082</v>
      </c>
      <c r="D1814" t="s">
        <v>4083</v>
      </c>
      <c r="E1814" t="s">
        <v>23</v>
      </c>
      <c r="F1814" t="s">
        <v>44</v>
      </c>
      <c r="G1814">
        <v>2018</v>
      </c>
      <c r="H1814" t="s">
        <v>728</v>
      </c>
      <c r="K1814" t="s">
        <v>25</v>
      </c>
      <c r="L1814" t="s">
        <v>30</v>
      </c>
      <c r="M1814" t="b">
        <v>1</v>
      </c>
      <c r="N1814" t="s">
        <v>3973</v>
      </c>
      <c r="P1814" t="s">
        <v>3974</v>
      </c>
      <c r="Q1814" t="b">
        <v>1</v>
      </c>
      <c r="T1814" t="str">
        <f>"9780310357209"</f>
        <v>9780310357209</v>
      </c>
      <c r="U1814" t="b">
        <v>0</v>
      </c>
      <c r="W1814" t="b">
        <v>0</v>
      </c>
    </row>
    <row r="1815" spans="1:23" x14ac:dyDescent="0.3">
      <c r="A1815">
        <v>2980996</v>
      </c>
      <c r="B1815">
        <v>62.07</v>
      </c>
      <c r="C1815" t="s">
        <v>4084</v>
      </c>
      <c r="D1815" t="s">
        <v>4085</v>
      </c>
      <c r="E1815" t="s">
        <v>23</v>
      </c>
      <c r="F1815" t="s">
        <v>44</v>
      </c>
      <c r="G1815">
        <v>2015</v>
      </c>
      <c r="H1815" t="s">
        <v>2079</v>
      </c>
      <c r="K1815" t="s">
        <v>25</v>
      </c>
      <c r="L1815" t="s">
        <v>26</v>
      </c>
      <c r="M1815" t="b">
        <v>1</v>
      </c>
      <c r="N1815" t="s">
        <v>4086</v>
      </c>
      <c r="Q1815" t="b">
        <v>0</v>
      </c>
      <c r="S1815" t="str">
        <f>"9780310749394"</f>
        <v>9780310749394</v>
      </c>
      <c r="T1815" t="str">
        <f>"9780310748533"</f>
        <v>9780310748533</v>
      </c>
      <c r="U1815" t="b">
        <v>0</v>
      </c>
      <c r="W1815" t="b">
        <v>0</v>
      </c>
    </row>
    <row r="1816" spans="1:23" x14ac:dyDescent="0.3">
      <c r="A1816">
        <v>2980995</v>
      </c>
      <c r="B1816">
        <v>27.57</v>
      </c>
      <c r="C1816" t="s">
        <v>4087</v>
      </c>
      <c r="D1816" t="s">
        <v>4088</v>
      </c>
      <c r="E1816" t="s">
        <v>23</v>
      </c>
      <c r="F1816" t="s">
        <v>44</v>
      </c>
      <c r="G1816">
        <v>2014</v>
      </c>
      <c r="H1816" t="s">
        <v>62</v>
      </c>
      <c r="K1816" t="s">
        <v>25</v>
      </c>
      <c r="L1816" t="s">
        <v>30</v>
      </c>
      <c r="M1816" t="b">
        <v>1</v>
      </c>
      <c r="N1816" t="s">
        <v>4089</v>
      </c>
      <c r="P1816" t="s">
        <v>3507</v>
      </c>
      <c r="Q1816" t="b">
        <v>0</v>
      </c>
      <c r="S1816" t="str">
        <f>"9780310433453"</f>
        <v>9780310433453</v>
      </c>
      <c r="T1816" t="str">
        <f>"9780310433460"</f>
        <v>9780310433460</v>
      </c>
      <c r="U1816" t="b">
        <v>0</v>
      </c>
      <c r="W1816" t="b">
        <v>0</v>
      </c>
    </row>
    <row r="1817" spans="1:23" x14ac:dyDescent="0.3">
      <c r="A1817">
        <v>2980994</v>
      </c>
      <c r="B1817">
        <v>55.17</v>
      </c>
      <c r="C1817" t="s">
        <v>4090</v>
      </c>
      <c r="D1817" t="s">
        <v>4091</v>
      </c>
      <c r="E1817" t="s">
        <v>23</v>
      </c>
      <c r="F1817" t="s">
        <v>44</v>
      </c>
      <c r="G1817">
        <v>2016</v>
      </c>
      <c r="H1817" t="s">
        <v>99</v>
      </c>
      <c r="K1817" t="s">
        <v>25</v>
      </c>
      <c r="L1817" t="s">
        <v>26</v>
      </c>
      <c r="M1817" t="b">
        <v>1</v>
      </c>
      <c r="N1817" t="s">
        <v>4092</v>
      </c>
      <c r="Q1817" t="b">
        <v>0</v>
      </c>
      <c r="S1817" t="str">
        <f>"9780310343578"</f>
        <v>9780310343578</v>
      </c>
      <c r="T1817" t="str">
        <f>"9780310343615"</f>
        <v>9780310343615</v>
      </c>
      <c r="U1817" t="b">
        <v>0</v>
      </c>
      <c r="W1817" t="b">
        <v>0</v>
      </c>
    </row>
    <row r="1818" spans="1:23" x14ac:dyDescent="0.3">
      <c r="A1818">
        <v>2980993</v>
      </c>
      <c r="B1818">
        <v>88.8</v>
      </c>
      <c r="C1818" t="s">
        <v>4093</v>
      </c>
      <c r="D1818" t="s">
        <v>4094</v>
      </c>
      <c r="E1818" t="s">
        <v>23</v>
      </c>
      <c r="F1818" t="s">
        <v>44</v>
      </c>
      <c r="G1818">
        <v>2017</v>
      </c>
      <c r="H1818" t="s">
        <v>728</v>
      </c>
      <c r="K1818" t="s">
        <v>25</v>
      </c>
      <c r="L1818" t="s">
        <v>30</v>
      </c>
      <c r="M1818" t="b">
        <v>1</v>
      </c>
      <c r="N1818" t="s">
        <v>773</v>
      </c>
      <c r="P1818" t="s">
        <v>3982</v>
      </c>
      <c r="Q1818" t="b">
        <v>1</v>
      </c>
      <c r="T1818" t="str">
        <f>"9780310347934"</f>
        <v>9780310347934</v>
      </c>
      <c r="U1818" t="b">
        <v>0</v>
      </c>
      <c r="W1818" t="b">
        <v>0</v>
      </c>
    </row>
    <row r="1819" spans="1:23" x14ac:dyDescent="0.3">
      <c r="A1819">
        <v>2980992</v>
      </c>
      <c r="B1819">
        <v>55.17</v>
      </c>
      <c r="C1819" t="s">
        <v>4095</v>
      </c>
      <c r="E1819" t="s">
        <v>23</v>
      </c>
      <c r="F1819" t="s">
        <v>44</v>
      </c>
      <c r="G1819">
        <v>2019</v>
      </c>
      <c r="H1819" t="s">
        <v>772</v>
      </c>
      <c r="K1819" t="s">
        <v>25</v>
      </c>
      <c r="L1819" t="s">
        <v>26</v>
      </c>
      <c r="M1819" t="b">
        <v>1</v>
      </c>
      <c r="N1819" t="s">
        <v>958</v>
      </c>
      <c r="P1819" t="s">
        <v>2899</v>
      </c>
      <c r="Q1819" t="b">
        <v>1</v>
      </c>
      <c r="S1819" t="str">
        <f>"9780529105400"</f>
        <v>9780529105400</v>
      </c>
      <c r="T1819" t="str">
        <f>"9780529119056"</f>
        <v>9780529119056</v>
      </c>
      <c r="U1819" t="b">
        <v>0</v>
      </c>
      <c r="W1819" t="b">
        <v>0</v>
      </c>
    </row>
    <row r="1820" spans="1:23" x14ac:dyDescent="0.3">
      <c r="A1820">
        <v>2980991</v>
      </c>
      <c r="B1820">
        <v>34.47</v>
      </c>
      <c r="C1820" t="s">
        <v>4096</v>
      </c>
      <c r="E1820" t="s">
        <v>23</v>
      </c>
      <c r="F1820" t="s">
        <v>44</v>
      </c>
      <c r="G1820">
        <v>2009</v>
      </c>
      <c r="H1820" t="s">
        <v>1474</v>
      </c>
      <c r="K1820" t="s">
        <v>25</v>
      </c>
      <c r="L1820" t="s">
        <v>30</v>
      </c>
      <c r="M1820" t="b">
        <v>1</v>
      </c>
      <c r="N1820" t="s">
        <v>1285</v>
      </c>
      <c r="Q1820" t="b">
        <v>0</v>
      </c>
      <c r="S1820" t="str">
        <f>"9780310279273"</f>
        <v>9780310279273</v>
      </c>
      <c r="T1820" t="str">
        <f>"9780310864844"</f>
        <v>9780310864844</v>
      </c>
      <c r="U1820" t="b">
        <v>0</v>
      </c>
      <c r="W1820" t="b">
        <v>0</v>
      </c>
    </row>
    <row r="1821" spans="1:23" x14ac:dyDescent="0.3">
      <c r="A1821">
        <v>2980989</v>
      </c>
      <c r="B1821">
        <v>35.5</v>
      </c>
      <c r="C1821" t="s">
        <v>4097</v>
      </c>
      <c r="E1821" t="s">
        <v>23</v>
      </c>
      <c r="F1821" t="s">
        <v>44</v>
      </c>
      <c r="G1821">
        <v>2010</v>
      </c>
      <c r="H1821" t="s">
        <v>4098</v>
      </c>
      <c r="K1821" t="s">
        <v>25</v>
      </c>
      <c r="L1821" t="s">
        <v>30</v>
      </c>
      <c r="M1821" t="b">
        <v>1</v>
      </c>
      <c r="N1821" t="s">
        <v>408</v>
      </c>
      <c r="P1821" t="s">
        <v>4030</v>
      </c>
      <c r="Q1821" t="b">
        <v>0</v>
      </c>
      <c r="S1821" t="str">
        <f>"9780310717881"</f>
        <v>9780310717881</v>
      </c>
      <c r="T1821" t="str">
        <f>"9780310426691"</f>
        <v>9780310426691</v>
      </c>
      <c r="U1821" t="b">
        <v>0</v>
      </c>
      <c r="W1821" t="b">
        <v>0</v>
      </c>
    </row>
    <row r="1822" spans="1:23" x14ac:dyDescent="0.3">
      <c r="A1822">
        <v>2980988</v>
      </c>
      <c r="B1822">
        <v>27.57</v>
      </c>
      <c r="C1822" t="s">
        <v>4099</v>
      </c>
      <c r="D1822" t="s">
        <v>4100</v>
      </c>
      <c r="E1822" t="s">
        <v>23</v>
      </c>
      <c r="F1822" t="s">
        <v>44</v>
      </c>
      <c r="G1822">
        <v>2018</v>
      </c>
      <c r="H1822" t="s">
        <v>772</v>
      </c>
      <c r="K1822" t="s">
        <v>25</v>
      </c>
      <c r="L1822" t="s">
        <v>26</v>
      </c>
      <c r="M1822" t="b">
        <v>1</v>
      </c>
      <c r="N1822" t="s">
        <v>958</v>
      </c>
      <c r="Q1822" t="b">
        <v>1</v>
      </c>
      <c r="S1822" t="str">
        <f>"9780310362227"</f>
        <v>9780310362227</v>
      </c>
      <c r="T1822" t="str">
        <f>"9780529119759"</f>
        <v>9780529119759</v>
      </c>
      <c r="U1822" t="b">
        <v>0</v>
      </c>
      <c r="W1822" t="b">
        <v>0</v>
      </c>
    </row>
    <row r="1823" spans="1:23" x14ac:dyDescent="0.3">
      <c r="A1823">
        <v>2980987</v>
      </c>
      <c r="B1823">
        <v>62.07</v>
      </c>
      <c r="C1823" t="s">
        <v>4101</v>
      </c>
      <c r="D1823" t="s">
        <v>4102</v>
      </c>
      <c r="E1823" t="s">
        <v>23</v>
      </c>
      <c r="F1823" t="s">
        <v>44</v>
      </c>
      <c r="G1823">
        <v>2019</v>
      </c>
      <c r="H1823" t="s">
        <v>58</v>
      </c>
      <c r="K1823" t="s">
        <v>25</v>
      </c>
      <c r="L1823" t="s">
        <v>26</v>
      </c>
      <c r="M1823" t="b">
        <v>1</v>
      </c>
      <c r="N1823" t="s">
        <v>4103</v>
      </c>
      <c r="Q1823" t="b">
        <v>0</v>
      </c>
      <c r="S1823" t="str">
        <f>"9780310355304"</f>
        <v>9780310355304</v>
      </c>
      <c r="T1823" t="str">
        <f>"9780310355311"</f>
        <v>9780310355311</v>
      </c>
      <c r="U1823" t="b">
        <v>0</v>
      </c>
      <c r="W1823" t="b">
        <v>0</v>
      </c>
    </row>
    <row r="1824" spans="1:23" x14ac:dyDescent="0.3">
      <c r="A1824">
        <v>2980986</v>
      </c>
      <c r="B1824">
        <v>131.44</v>
      </c>
      <c r="C1824" t="s">
        <v>4104</v>
      </c>
      <c r="D1824" t="s">
        <v>4105</v>
      </c>
      <c r="E1824" t="s">
        <v>23</v>
      </c>
      <c r="F1824" t="s">
        <v>44</v>
      </c>
      <c r="G1824">
        <v>2015</v>
      </c>
      <c r="H1824" t="s">
        <v>728</v>
      </c>
      <c r="K1824" t="s">
        <v>25</v>
      </c>
      <c r="L1824" t="s">
        <v>30</v>
      </c>
      <c r="M1824" t="b">
        <v>1</v>
      </c>
      <c r="N1824" t="s">
        <v>776</v>
      </c>
      <c r="P1824" t="s">
        <v>3036</v>
      </c>
      <c r="Q1824" t="b">
        <v>1</v>
      </c>
      <c r="T1824" t="str">
        <f>"9780310344162"</f>
        <v>9780310344162</v>
      </c>
      <c r="U1824" t="b">
        <v>0</v>
      </c>
      <c r="W1824" t="b">
        <v>0</v>
      </c>
    </row>
    <row r="1825" spans="1:23" x14ac:dyDescent="0.3">
      <c r="A1825">
        <v>2980985</v>
      </c>
      <c r="B1825">
        <v>14.18</v>
      </c>
      <c r="C1825" t="s">
        <v>4106</v>
      </c>
      <c r="D1825" t="s">
        <v>4107</v>
      </c>
      <c r="E1825" t="s">
        <v>23</v>
      </c>
      <c r="F1825" t="s">
        <v>44</v>
      </c>
      <c r="G1825">
        <v>2015</v>
      </c>
      <c r="H1825" t="s">
        <v>1212</v>
      </c>
      <c r="K1825" t="s">
        <v>25</v>
      </c>
      <c r="L1825" t="s">
        <v>30</v>
      </c>
      <c r="M1825" t="b">
        <v>1</v>
      </c>
      <c r="N1825" t="s">
        <v>4108</v>
      </c>
      <c r="P1825" t="s">
        <v>2785</v>
      </c>
      <c r="Q1825" t="b">
        <v>1</v>
      </c>
      <c r="T1825" t="str">
        <f>"9780310396062"</f>
        <v>9780310396062</v>
      </c>
      <c r="U1825" t="b">
        <v>0</v>
      </c>
      <c r="W1825" t="b">
        <v>0</v>
      </c>
    </row>
    <row r="1826" spans="1:23" x14ac:dyDescent="0.3">
      <c r="A1826">
        <v>2980984</v>
      </c>
      <c r="B1826">
        <v>68.97</v>
      </c>
      <c r="C1826" t="s">
        <v>4109</v>
      </c>
      <c r="D1826" t="s">
        <v>4110</v>
      </c>
      <c r="E1826" t="s">
        <v>23</v>
      </c>
      <c r="F1826" t="s">
        <v>44</v>
      </c>
      <c r="G1826">
        <v>2020</v>
      </c>
      <c r="H1826" t="s">
        <v>1122</v>
      </c>
      <c r="K1826" t="s">
        <v>25</v>
      </c>
      <c r="L1826" t="s">
        <v>26</v>
      </c>
      <c r="M1826" t="b">
        <v>1</v>
      </c>
      <c r="N1826" t="s">
        <v>4111</v>
      </c>
      <c r="P1826" t="s">
        <v>4112</v>
      </c>
      <c r="Q1826" t="b">
        <v>0</v>
      </c>
      <c r="S1826" t="str">
        <f>"9780310102120"</f>
        <v>9780310102120</v>
      </c>
      <c r="T1826" t="str">
        <f>"9780310102144"</f>
        <v>9780310102144</v>
      </c>
      <c r="U1826" t="b">
        <v>0</v>
      </c>
      <c r="W1826" t="b">
        <v>0</v>
      </c>
    </row>
    <row r="1827" spans="1:23" x14ac:dyDescent="0.3">
      <c r="A1827">
        <v>2980983</v>
      </c>
      <c r="B1827">
        <v>44.82</v>
      </c>
      <c r="C1827" t="s">
        <v>4113</v>
      </c>
      <c r="E1827" t="s">
        <v>23</v>
      </c>
      <c r="F1827" t="s">
        <v>44</v>
      </c>
      <c r="G1827">
        <v>2017</v>
      </c>
      <c r="H1827" t="s">
        <v>3986</v>
      </c>
      <c r="K1827" t="s">
        <v>25</v>
      </c>
      <c r="L1827" t="s">
        <v>26</v>
      </c>
      <c r="M1827" t="b">
        <v>1</v>
      </c>
      <c r="N1827" t="s">
        <v>2609</v>
      </c>
      <c r="Q1827" t="b">
        <v>0</v>
      </c>
      <c r="S1827" t="str">
        <f>"9780310749301"</f>
        <v>9780310749301</v>
      </c>
      <c r="T1827" t="str">
        <f>"9780310749431"</f>
        <v>9780310749431</v>
      </c>
      <c r="U1827" t="b">
        <v>0</v>
      </c>
      <c r="W1827" t="b">
        <v>0</v>
      </c>
    </row>
    <row r="1828" spans="1:23" x14ac:dyDescent="0.3">
      <c r="A1828">
        <v>2980982</v>
      </c>
      <c r="B1828">
        <v>34.47</v>
      </c>
      <c r="C1828" t="s">
        <v>4114</v>
      </c>
      <c r="E1828" t="s">
        <v>23</v>
      </c>
      <c r="F1828" t="s">
        <v>44</v>
      </c>
      <c r="G1828">
        <v>2010</v>
      </c>
      <c r="H1828" t="s">
        <v>3147</v>
      </c>
      <c r="K1828" t="s">
        <v>25</v>
      </c>
      <c r="L1828" t="s">
        <v>30</v>
      </c>
      <c r="M1828" t="b">
        <v>1</v>
      </c>
      <c r="N1828" t="s">
        <v>83</v>
      </c>
      <c r="P1828" t="s">
        <v>3897</v>
      </c>
      <c r="Q1828" t="b">
        <v>0</v>
      </c>
      <c r="S1828" t="str">
        <f>"9780310714859"</f>
        <v>9780310714859</v>
      </c>
      <c r="T1828" t="str">
        <f>"9780310575924"</f>
        <v>9780310575924</v>
      </c>
      <c r="U1828" t="b">
        <v>0</v>
      </c>
      <c r="W1828" t="b">
        <v>0</v>
      </c>
    </row>
    <row r="1829" spans="1:23" x14ac:dyDescent="0.3">
      <c r="A1829">
        <v>2980981</v>
      </c>
      <c r="B1829">
        <v>79.319999999999993</v>
      </c>
      <c r="C1829" t="s">
        <v>4115</v>
      </c>
      <c r="D1829" t="s">
        <v>4116</v>
      </c>
      <c r="E1829" t="s">
        <v>23</v>
      </c>
      <c r="F1829" t="s">
        <v>44</v>
      </c>
      <c r="G1829">
        <v>2015</v>
      </c>
      <c r="H1829" t="s">
        <v>132</v>
      </c>
      <c r="K1829" t="s">
        <v>25</v>
      </c>
      <c r="L1829" t="s">
        <v>30</v>
      </c>
      <c r="M1829" t="b">
        <v>1</v>
      </c>
      <c r="N1829" t="s">
        <v>1017</v>
      </c>
      <c r="Q1829" t="b">
        <v>0</v>
      </c>
      <c r="S1829" t="str">
        <f>"9780310344971"</f>
        <v>9780310344971</v>
      </c>
      <c r="T1829" t="str">
        <f>"9780310352129"</f>
        <v>9780310352129</v>
      </c>
      <c r="U1829" t="b">
        <v>0</v>
      </c>
      <c r="W1829" t="b">
        <v>0</v>
      </c>
    </row>
    <row r="1830" spans="1:23" x14ac:dyDescent="0.3">
      <c r="A1830">
        <v>2980980</v>
      </c>
      <c r="B1830">
        <v>51.72</v>
      </c>
      <c r="C1830" t="s">
        <v>4117</v>
      </c>
      <c r="D1830" t="s">
        <v>4118</v>
      </c>
      <c r="E1830" t="s">
        <v>23</v>
      </c>
      <c r="F1830" t="s">
        <v>44</v>
      </c>
      <c r="G1830">
        <v>2013</v>
      </c>
      <c r="H1830" t="s">
        <v>1234</v>
      </c>
      <c r="K1830" t="s">
        <v>25</v>
      </c>
      <c r="L1830" t="s">
        <v>30</v>
      </c>
      <c r="M1830" t="b">
        <v>1</v>
      </c>
      <c r="N1830" t="s">
        <v>4119</v>
      </c>
      <c r="Q1830" t="b">
        <v>0</v>
      </c>
      <c r="S1830" t="str">
        <f>"9780310318675"</f>
        <v>9780310318675</v>
      </c>
      <c r="T1830" t="str">
        <f>"9780310318682"</f>
        <v>9780310318682</v>
      </c>
      <c r="U1830" t="b">
        <v>0</v>
      </c>
      <c r="W1830" t="b">
        <v>0</v>
      </c>
    </row>
    <row r="1831" spans="1:23" x14ac:dyDescent="0.3">
      <c r="A1831">
        <v>2980979</v>
      </c>
      <c r="B1831">
        <v>46.16</v>
      </c>
      <c r="C1831" t="s">
        <v>4120</v>
      </c>
      <c r="D1831" t="s">
        <v>4121</v>
      </c>
      <c r="E1831" t="s">
        <v>23</v>
      </c>
      <c r="F1831" t="s">
        <v>44</v>
      </c>
      <c r="G1831">
        <v>2009</v>
      </c>
      <c r="H1831" t="s">
        <v>99</v>
      </c>
      <c r="K1831" t="s">
        <v>25</v>
      </c>
      <c r="L1831" t="s">
        <v>30</v>
      </c>
      <c r="M1831" t="b">
        <v>1</v>
      </c>
      <c r="N1831" t="s">
        <v>4122</v>
      </c>
      <c r="Q1831" t="b">
        <v>0</v>
      </c>
      <c r="T1831" t="str">
        <f>"9780310561828"</f>
        <v>9780310561828</v>
      </c>
      <c r="U1831" t="b">
        <v>0</v>
      </c>
      <c r="W1831" t="b">
        <v>0</v>
      </c>
    </row>
    <row r="1832" spans="1:23" x14ac:dyDescent="0.3">
      <c r="A1832">
        <v>2980978</v>
      </c>
      <c r="B1832">
        <v>28.39</v>
      </c>
      <c r="C1832" t="s">
        <v>4123</v>
      </c>
      <c r="D1832" t="s">
        <v>4124</v>
      </c>
      <c r="E1832" t="s">
        <v>23</v>
      </c>
      <c r="F1832" t="s">
        <v>44</v>
      </c>
      <c r="G1832">
        <v>2009</v>
      </c>
      <c r="H1832" t="s">
        <v>68</v>
      </c>
      <c r="K1832" t="s">
        <v>25</v>
      </c>
      <c r="L1832" t="s">
        <v>30</v>
      </c>
      <c r="M1832" t="b">
        <v>1</v>
      </c>
      <c r="N1832" t="s">
        <v>4125</v>
      </c>
      <c r="Q1832" t="b">
        <v>0</v>
      </c>
      <c r="T1832" t="str">
        <f>"9780310866633"</f>
        <v>9780310866633</v>
      </c>
      <c r="U1832" t="b">
        <v>0</v>
      </c>
      <c r="W1832" t="b">
        <v>0</v>
      </c>
    </row>
    <row r="1833" spans="1:23" x14ac:dyDescent="0.3">
      <c r="A1833">
        <v>2980977</v>
      </c>
      <c r="B1833">
        <v>63.93</v>
      </c>
      <c r="C1833" t="s">
        <v>4126</v>
      </c>
      <c r="D1833" t="s">
        <v>2220</v>
      </c>
      <c r="E1833" t="s">
        <v>23</v>
      </c>
      <c r="F1833" t="s">
        <v>44</v>
      </c>
      <c r="G1833">
        <v>2015</v>
      </c>
      <c r="H1833" t="s">
        <v>872</v>
      </c>
      <c r="K1833" t="s">
        <v>25</v>
      </c>
      <c r="L1833" t="s">
        <v>30</v>
      </c>
      <c r="M1833" t="b">
        <v>1</v>
      </c>
      <c r="N1833" t="s">
        <v>2221</v>
      </c>
      <c r="Q1833" t="b">
        <v>0</v>
      </c>
      <c r="T1833" t="str">
        <f>"9780310340539"</f>
        <v>9780310340539</v>
      </c>
      <c r="U1833" t="b">
        <v>0</v>
      </c>
      <c r="W1833" t="b">
        <v>0</v>
      </c>
    </row>
    <row r="1834" spans="1:23" x14ac:dyDescent="0.3">
      <c r="A1834">
        <v>2980976</v>
      </c>
      <c r="B1834">
        <v>55.17</v>
      </c>
      <c r="C1834" t="s">
        <v>4127</v>
      </c>
      <c r="E1834" t="s">
        <v>23</v>
      </c>
      <c r="F1834" t="s">
        <v>44</v>
      </c>
      <c r="G1834">
        <v>2015</v>
      </c>
      <c r="H1834" t="s">
        <v>728</v>
      </c>
      <c r="K1834" t="s">
        <v>25</v>
      </c>
      <c r="L1834" t="s">
        <v>30</v>
      </c>
      <c r="M1834" t="b">
        <v>1</v>
      </c>
      <c r="N1834" t="s">
        <v>4128</v>
      </c>
      <c r="P1834" t="s">
        <v>4129</v>
      </c>
      <c r="Q1834" t="b">
        <v>1</v>
      </c>
      <c r="S1834" t="str">
        <f>"9780785247982"</f>
        <v>9780785247982</v>
      </c>
      <c r="T1834" t="str">
        <f>"9780310315551"</f>
        <v>9780310315551</v>
      </c>
      <c r="U1834" t="b">
        <v>0</v>
      </c>
      <c r="W1834" t="b">
        <v>0</v>
      </c>
    </row>
    <row r="1835" spans="1:23" x14ac:dyDescent="0.3">
      <c r="A1835">
        <v>2980975</v>
      </c>
      <c r="B1835">
        <v>71.03</v>
      </c>
      <c r="C1835" t="s">
        <v>4130</v>
      </c>
      <c r="E1835" t="s">
        <v>23</v>
      </c>
      <c r="F1835" t="s">
        <v>44</v>
      </c>
      <c r="G1835">
        <v>2012</v>
      </c>
      <c r="H1835" t="s">
        <v>1343</v>
      </c>
      <c r="K1835" t="s">
        <v>25</v>
      </c>
      <c r="L1835" t="s">
        <v>30</v>
      </c>
      <c r="M1835" t="b">
        <v>1</v>
      </c>
      <c r="N1835" t="s">
        <v>44</v>
      </c>
      <c r="Q1835" t="b">
        <v>0</v>
      </c>
      <c r="T1835" t="str">
        <f>"9780310410935"</f>
        <v>9780310410935</v>
      </c>
      <c r="U1835" t="b">
        <v>0</v>
      </c>
      <c r="W1835" t="b">
        <v>0</v>
      </c>
    </row>
    <row r="1836" spans="1:23" x14ac:dyDescent="0.3">
      <c r="A1836">
        <v>2980974</v>
      </c>
      <c r="B1836">
        <v>51.72</v>
      </c>
      <c r="C1836" t="s">
        <v>4131</v>
      </c>
      <c r="D1836" t="s">
        <v>4132</v>
      </c>
      <c r="E1836" t="s">
        <v>23</v>
      </c>
      <c r="F1836" t="s">
        <v>44</v>
      </c>
      <c r="G1836">
        <v>2011</v>
      </c>
      <c r="H1836" t="s">
        <v>56</v>
      </c>
      <c r="K1836" t="s">
        <v>25</v>
      </c>
      <c r="L1836" t="s">
        <v>30</v>
      </c>
      <c r="M1836" t="b">
        <v>1</v>
      </c>
      <c r="N1836" t="s">
        <v>4133</v>
      </c>
      <c r="Q1836" t="b">
        <v>0</v>
      </c>
      <c r="S1836" t="str">
        <f>"9780310325529"</f>
        <v>9780310325529</v>
      </c>
      <c r="T1836" t="str">
        <f>"9780310587125"</f>
        <v>9780310587125</v>
      </c>
      <c r="U1836" t="b">
        <v>0</v>
      </c>
      <c r="W1836" t="b">
        <v>0</v>
      </c>
    </row>
    <row r="1837" spans="1:23" x14ac:dyDescent="0.3">
      <c r="A1837">
        <v>2980973</v>
      </c>
      <c r="B1837">
        <v>65.52</v>
      </c>
      <c r="C1837" t="s">
        <v>4134</v>
      </c>
      <c r="D1837" t="s">
        <v>4135</v>
      </c>
      <c r="E1837" t="s">
        <v>23</v>
      </c>
      <c r="F1837" t="s">
        <v>44</v>
      </c>
      <c r="G1837">
        <v>2020</v>
      </c>
      <c r="H1837" t="s">
        <v>99</v>
      </c>
      <c r="K1837" t="s">
        <v>25</v>
      </c>
      <c r="L1837" t="s">
        <v>26</v>
      </c>
      <c r="M1837" t="b">
        <v>1</v>
      </c>
      <c r="N1837" t="s">
        <v>4136</v>
      </c>
      <c r="Q1837" t="b">
        <v>0</v>
      </c>
      <c r="S1837" t="str">
        <f>"9780310358169"</f>
        <v>9780310358169</v>
      </c>
      <c r="T1837" t="str">
        <f>"9780310358176"</f>
        <v>9780310358176</v>
      </c>
      <c r="U1837" t="b">
        <v>0</v>
      </c>
      <c r="W1837" t="b">
        <v>0</v>
      </c>
    </row>
    <row r="1838" spans="1:23" x14ac:dyDescent="0.3">
      <c r="A1838">
        <v>2980972</v>
      </c>
      <c r="B1838">
        <v>55.17</v>
      </c>
      <c r="C1838" t="s">
        <v>4137</v>
      </c>
      <c r="E1838" t="s">
        <v>23</v>
      </c>
      <c r="F1838" t="s">
        <v>44</v>
      </c>
      <c r="G1838">
        <v>2013</v>
      </c>
      <c r="H1838" t="s">
        <v>4138</v>
      </c>
      <c r="K1838" t="s">
        <v>25</v>
      </c>
      <c r="L1838" t="s">
        <v>26</v>
      </c>
      <c r="M1838" t="b">
        <v>1</v>
      </c>
      <c r="N1838" t="s">
        <v>4128</v>
      </c>
      <c r="P1838" t="s">
        <v>4129</v>
      </c>
      <c r="Q1838" t="b">
        <v>1</v>
      </c>
      <c r="S1838" t="str">
        <f>"9780785248033"</f>
        <v>9780785248033</v>
      </c>
      <c r="T1838" t="str">
        <f>"9780310315483"</f>
        <v>9780310315483</v>
      </c>
      <c r="U1838" t="b">
        <v>0</v>
      </c>
      <c r="W1838" t="b">
        <v>0</v>
      </c>
    </row>
    <row r="1839" spans="1:23" x14ac:dyDescent="0.3">
      <c r="A1839">
        <v>2980971</v>
      </c>
      <c r="B1839">
        <v>55.17</v>
      </c>
      <c r="C1839" t="s">
        <v>4139</v>
      </c>
      <c r="D1839" t="s">
        <v>4140</v>
      </c>
      <c r="E1839" t="s">
        <v>23</v>
      </c>
      <c r="F1839" t="s">
        <v>44</v>
      </c>
      <c r="G1839">
        <v>2015</v>
      </c>
      <c r="H1839" t="s">
        <v>69</v>
      </c>
      <c r="K1839" t="s">
        <v>25</v>
      </c>
      <c r="L1839" t="s">
        <v>26</v>
      </c>
      <c r="M1839" t="b">
        <v>1</v>
      </c>
      <c r="N1839" t="s">
        <v>4141</v>
      </c>
      <c r="Q1839" t="b">
        <v>0</v>
      </c>
      <c r="S1839" t="str">
        <f>"9780310342274"</f>
        <v>9780310342274</v>
      </c>
      <c r="T1839" t="str">
        <f>"9780310342281"</f>
        <v>9780310342281</v>
      </c>
      <c r="U1839" t="b">
        <v>0</v>
      </c>
      <c r="W1839" t="b">
        <v>0</v>
      </c>
    </row>
    <row r="1840" spans="1:23" x14ac:dyDescent="0.3">
      <c r="A1840">
        <v>2980970</v>
      </c>
      <c r="B1840">
        <v>55.17</v>
      </c>
      <c r="C1840" t="s">
        <v>4142</v>
      </c>
      <c r="D1840" t="s">
        <v>4143</v>
      </c>
      <c r="E1840" t="s">
        <v>23</v>
      </c>
      <c r="F1840" t="s">
        <v>44</v>
      </c>
      <c r="G1840">
        <v>2014</v>
      </c>
      <c r="H1840" t="s">
        <v>58</v>
      </c>
      <c r="K1840" t="s">
        <v>25</v>
      </c>
      <c r="L1840" t="s">
        <v>30</v>
      </c>
      <c r="M1840" t="b">
        <v>1</v>
      </c>
      <c r="N1840" t="s">
        <v>4144</v>
      </c>
      <c r="Q1840" t="b">
        <v>0</v>
      </c>
      <c r="S1840" t="str">
        <f>"9780310336839"</f>
        <v>9780310336839</v>
      </c>
      <c r="T1840" t="str">
        <f>"9780310336853"</f>
        <v>9780310336853</v>
      </c>
      <c r="U1840" t="b">
        <v>0</v>
      </c>
      <c r="W1840" t="b">
        <v>0</v>
      </c>
    </row>
    <row r="1841" spans="1:23" x14ac:dyDescent="0.3">
      <c r="A1841">
        <v>2980969</v>
      </c>
      <c r="B1841">
        <v>68.97</v>
      </c>
      <c r="C1841" t="s">
        <v>4145</v>
      </c>
      <c r="E1841" t="s">
        <v>23</v>
      </c>
      <c r="F1841" t="s">
        <v>44</v>
      </c>
      <c r="G1841">
        <v>2010</v>
      </c>
      <c r="H1841" t="s">
        <v>58</v>
      </c>
      <c r="K1841" t="s">
        <v>25</v>
      </c>
      <c r="L1841" t="s">
        <v>30</v>
      </c>
      <c r="M1841" t="b">
        <v>1</v>
      </c>
      <c r="N1841" t="s">
        <v>4146</v>
      </c>
      <c r="Q1841" t="b">
        <v>0</v>
      </c>
      <c r="S1841" t="str">
        <f>"9780310331179"</f>
        <v>9780310331179</v>
      </c>
      <c r="T1841" t="str">
        <f>"9780310416630"</f>
        <v>9780310416630</v>
      </c>
      <c r="U1841" t="b">
        <v>0</v>
      </c>
      <c r="W1841" t="b">
        <v>0</v>
      </c>
    </row>
    <row r="1842" spans="1:23" x14ac:dyDescent="0.3">
      <c r="A1842">
        <v>2980968</v>
      </c>
      <c r="B1842">
        <v>55.17</v>
      </c>
      <c r="C1842" t="s">
        <v>4147</v>
      </c>
      <c r="E1842" t="s">
        <v>23</v>
      </c>
      <c r="F1842" t="s">
        <v>44</v>
      </c>
      <c r="G1842">
        <v>2013</v>
      </c>
      <c r="H1842" t="s">
        <v>2535</v>
      </c>
      <c r="K1842" t="s">
        <v>25</v>
      </c>
      <c r="L1842" t="s">
        <v>30</v>
      </c>
      <c r="M1842" t="b">
        <v>1</v>
      </c>
      <c r="N1842" t="s">
        <v>4148</v>
      </c>
      <c r="P1842" t="s">
        <v>2963</v>
      </c>
      <c r="Q1842" t="b">
        <v>1</v>
      </c>
      <c r="S1842" t="str">
        <f>"9780310335931"</f>
        <v>9780310335931</v>
      </c>
      <c r="T1842" t="str">
        <f>"9780310335962"</f>
        <v>9780310335962</v>
      </c>
      <c r="U1842" t="b">
        <v>0</v>
      </c>
      <c r="W1842" t="b">
        <v>0</v>
      </c>
    </row>
    <row r="1843" spans="1:23" x14ac:dyDescent="0.3">
      <c r="A1843">
        <v>2980967</v>
      </c>
      <c r="B1843">
        <v>46.16</v>
      </c>
      <c r="C1843" t="s">
        <v>4149</v>
      </c>
      <c r="D1843" t="s">
        <v>4150</v>
      </c>
      <c r="E1843" t="s">
        <v>23</v>
      </c>
      <c r="F1843" t="s">
        <v>44</v>
      </c>
      <c r="G1843">
        <v>2010</v>
      </c>
      <c r="H1843" t="s">
        <v>737</v>
      </c>
      <c r="K1843" t="s">
        <v>25</v>
      </c>
      <c r="L1843" t="s">
        <v>30</v>
      </c>
      <c r="M1843" t="b">
        <v>1</v>
      </c>
      <c r="N1843" t="s">
        <v>4151</v>
      </c>
      <c r="Q1843" t="b">
        <v>0</v>
      </c>
      <c r="T1843" t="str">
        <f>"9780310877547"</f>
        <v>9780310877547</v>
      </c>
      <c r="U1843" t="b">
        <v>0</v>
      </c>
      <c r="W1843" t="b">
        <v>0</v>
      </c>
    </row>
    <row r="1844" spans="1:23" x14ac:dyDescent="0.3">
      <c r="A1844">
        <v>2980966</v>
      </c>
      <c r="B1844">
        <v>46.16</v>
      </c>
      <c r="C1844" t="s">
        <v>4152</v>
      </c>
      <c r="D1844" t="s">
        <v>4153</v>
      </c>
      <c r="E1844" t="s">
        <v>23</v>
      </c>
      <c r="F1844" t="s">
        <v>44</v>
      </c>
      <c r="G1844">
        <v>2014</v>
      </c>
      <c r="H1844" t="s">
        <v>132</v>
      </c>
      <c r="K1844" t="s">
        <v>25</v>
      </c>
      <c r="L1844" t="s">
        <v>30</v>
      </c>
      <c r="M1844" t="b">
        <v>1</v>
      </c>
      <c r="N1844" t="s">
        <v>44</v>
      </c>
      <c r="Q1844" t="b">
        <v>0</v>
      </c>
      <c r="T1844" t="str">
        <f>"9780310352167"</f>
        <v>9780310352167</v>
      </c>
      <c r="U1844" t="b">
        <v>0</v>
      </c>
      <c r="W1844" t="b">
        <v>0</v>
      </c>
    </row>
    <row r="1845" spans="1:23" x14ac:dyDescent="0.3">
      <c r="A1845">
        <v>2980965</v>
      </c>
      <c r="B1845">
        <v>68.97</v>
      </c>
      <c r="C1845" t="s">
        <v>4154</v>
      </c>
      <c r="D1845" t="s">
        <v>4155</v>
      </c>
      <c r="E1845" t="s">
        <v>23</v>
      </c>
      <c r="F1845" t="s">
        <v>44</v>
      </c>
      <c r="G1845">
        <v>2019</v>
      </c>
      <c r="H1845" t="s">
        <v>132</v>
      </c>
      <c r="K1845" t="s">
        <v>25</v>
      </c>
      <c r="L1845" t="s">
        <v>26</v>
      </c>
      <c r="M1845" t="b">
        <v>1</v>
      </c>
      <c r="N1845" t="s">
        <v>3323</v>
      </c>
      <c r="P1845" t="s">
        <v>4156</v>
      </c>
      <c r="Q1845" t="b">
        <v>0</v>
      </c>
      <c r="S1845" t="str">
        <f>"9780310095408"</f>
        <v>9780310095408</v>
      </c>
      <c r="T1845" t="str">
        <f>"9780310095415"</f>
        <v>9780310095415</v>
      </c>
      <c r="U1845" t="b">
        <v>0</v>
      </c>
      <c r="W1845" t="b">
        <v>0</v>
      </c>
    </row>
    <row r="1846" spans="1:23" x14ac:dyDescent="0.3">
      <c r="A1846">
        <v>2980964</v>
      </c>
      <c r="B1846">
        <v>34.47</v>
      </c>
      <c r="C1846" t="s">
        <v>4157</v>
      </c>
      <c r="E1846" t="s">
        <v>23</v>
      </c>
      <c r="F1846" t="s">
        <v>44</v>
      </c>
      <c r="G1846">
        <v>2009</v>
      </c>
      <c r="H1846" t="s">
        <v>1237</v>
      </c>
      <c r="K1846" t="s">
        <v>25</v>
      </c>
      <c r="L1846" t="s">
        <v>30</v>
      </c>
      <c r="M1846" t="b">
        <v>1</v>
      </c>
      <c r="N1846" t="s">
        <v>4158</v>
      </c>
      <c r="Q1846" t="b">
        <v>0</v>
      </c>
      <c r="S1846" t="str">
        <f>"9780310223443"</f>
        <v>9780310223443</v>
      </c>
      <c r="T1846" t="str">
        <f>"9780310861188"</f>
        <v>9780310861188</v>
      </c>
      <c r="U1846" t="b">
        <v>0</v>
      </c>
      <c r="W1846" t="b">
        <v>0</v>
      </c>
    </row>
    <row r="1847" spans="1:23" x14ac:dyDescent="0.3">
      <c r="A1847">
        <v>2980963</v>
      </c>
      <c r="B1847">
        <v>42.61</v>
      </c>
      <c r="C1847" t="s">
        <v>4159</v>
      </c>
      <c r="D1847" t="s">
        <v>4160</v>
      </c>
      <c r="E1847" t="s">
        <v>23</v>
      </c>
      <c r="F1847" t="s">
        <v>44</v>
      </c>
      <c r="G1847">
        <v>2011</v>
      </c>
      <c r="H1847" t="s">
        <v>62</v>
      </c>
      <c r="K1847" t="s">
        <v>25</v>
      </c>
      <c r="L1847" t="s">
        <v>26</v>
      </c>
      <c r="M1847" t="b">
        <v>1</v>
      </c>
      <c r="N1847" t="s">
        <v>2616</v>
      </c>
      <c r="Q1847" t="b">
        <v>0</v>
      </c>
      <c r="T1847" t="str">
        <f>"9780310870401"</f>
        <v>9780310870401</v>
      </c>
      <c r="U1847" t="b">
        <v>0</v>
      </c>
      <c r="W1847" t="b">
        <v>0</v>
      </c>
    </row>
    <row r="1848" spans="1:23" x14ac:dyDescent="0.3">
      <c r="A1848">
        <v>2980962</v>
      </c>
      <c r="B1848">
        <v>51.72</v>
      </c>
      <c r="C1848" t="s">
        <v>4161</v>
      </c>
      <c r="E1848" t="s">
        <v>23</v>
      </c>
      <c r="F1848" t="s">
        <v>44</v>
      </c>
      <c r="G1848">
        <v>2010</v>
      </c>
      <c r="H1848" t="s">
        <v>56</v>
      </c>
      <c r="K1848" t="s">
        <v>25</v>
      </c>
      <c r="L1848" t="s">
        <v>30</v>
      </c>
      <c r="M1848" t="b">
        <v>1</v>
      </c>
      <c r="N1848" t="s">
        <v>4162</v>
      </c>
      <c r="Q1848" t="b">
        <v>0</v>
      </c>
      <c r="S1848" t="str">
        <f>"9780310213093"</f>
        <v>9780310213093</v>
      </c>
      <c r="T1848" t="str">
        <f>"9780310877530"</f>
        <v>9780310877530</v>
      </c>
      <c r="U1848" t="b">
        <v>0</v>
      </c>
      <c r="W1848" t="b">
        <v>0</v>
      </c>
    </row>
    <row r="1849" spans="1:23" x14ac:dyDescent="0.3">
      <c r="A1849">
        <v>2980961</v>
      </c>
      <c r="B1849">
        <v>34.47</v>
      </c>
      <c r="C1849" t="s">
        <v>4163</v>
      </c>
      <c r="E1849" t="s">
        <v>23</v>
      </c>
      <c r="F1849" t="s">
        <v>44</v>
      </c>
      <c r="G1849">
        <v>2011</v>
      </c>
      <c r="H1849" t="s">
        <v>3147</v>
      </c>
      <c r="K1849" t="s">
        <v>25</v>
      </c>
      <c r="L1849" t="s">
        <v>30</v>
      </c>
      <c r="M1849" t="b">
        <v>1</v>
      </c>
      <c r="N1849" t="s">
        <v>83</v>
      </c>
      <c r="P1849" t="s">
        <v>3897</v>
      </c>
      <c r="Q1849" t="b">
        <v>0</v>
      </c>
      <c r="S1849" t="str">
        <f>"9780310714873"</f>
        <v>9780310714873</v>
      </c>
      <c r="T1849" t="str">
        <f>"9780310578376"</f>
        <v>9780310578376</v>
      </c>
      <c r="U1849" t="b">
        <v>0</v>
      </c>
      <c r="W1849" t="b">
        <v>0</v>
      </c>
    </row>
    <row r="1850" spans="1:23" x14ac:dyDescent="0.3">
      <c r="A1850">
        <v>2980960</v>
      </c>
      <c r="B1850">
        <v>88.8</v>
      </c>
      <c r="C1850" t="s">
        <v>4164</v>
      </c>
      <c r="D1850" t="s">
        <v>4165</v>
      </c>
      <c r="E1850" t="s">
        <v>23</v>
      </c>
      <c r="F1850" t="s">
        <v>44</v>
      </c>
      <c r="G1850">
        <v>2018</v>
      </c>
      <c r="H1850" t="s">
        <v>728</v>
      </c>
      <c r="K1850" t="s">
        <v>25</v>
      </c>
      <c r="L1850" t="s">
        <v>30</v>
      </c>
      <c r="M1850" t="b">
        <v>1</v>
      </c>
      <c r="N1850" t="s">
        <v>2836</v>
      </c>
      <c r="P1850" t="s">
        <v>2837</v>
      </c>
      <c r="Q1850" t="b">
        <v>1</v>
      </c>
      <c r="T1850" t="str">
        <f>"9780310348948"</f>
        <v>9780310348948</v>
      </c>
      <c r="U1850" t="b">
        <v>0</v>
      </c>
      <c r="W1850" t="b">
        <v>0</v>
      </c>
    </row>
    <row r="1851" spans="1:23" x14ac:dyDescent="0.3">
      <c r="A1851">
        <v>2980959</v>
      </c>
      <c r="B1851">
        <v>51.72</v>
      </c>
      <c r="C1851" t="s">
        <v>4166</v>
      </c>
      <c r="D1851" t="s">
        <v>4167</v>
      </c>
      <c r="E1851" t="s">
        <v>23</v>
      </c>
      <c r="F1851" t="s">
        <v>44</v>
      </c>
      <c r="G1851">
        <v>2019</v>
      </c>
      <c r="H1851" t="s">
        <v>58</v>
      </c>
      <c r="K1851" t="s">
        <v>25</v>
      </c>
      <c r="L1851" t="s">
        <v>26</v>
      </c>
      <c r="M1851" t="b">
        <v>1</v>
      </c>
      <c r="N1851" t="s">
        <v>44</v>
      </c>
      <c r="Q1851" t="b">
        <v>0</v>
      </c>
      <c r="S1851" t="str">
        <f>"9780310453949"</f>
        <v>9780310453949</v>
      </c>
      <c r="T1851" t="str">
        <f>"9780310453956"</f>
        <v>9780310453956</v>
      </c>
      <c r="U1851" t="b">
        <v>0</v>
      </c>
      <c r="W1851" t="b">
        <v>0</v>
      </c>
    </row>
    <row r="1852" spans="1:23" x14ac:dyDescent="0.3">
      <c r="A1852">
        <v>2980958</v>
      </c>
      <c r="B1852">
        <v>44.82</v>
      </c>
      <c r="C1852" t="s">
        <v>4168</v>
      </c>
      <c r="D1852" t="s">
        <v>4169</v>
      </c>
      <c r="E1852" t="s">
        <v>23</v>
      </c>
      <c r="F1852" t="s">
        <v>44</v>
      </c>
      <c r="G1852">
        <v>2019</v>
      </c>
      <c r="H1852" t="s">
        <v>58</v>
      </c>
      <c r="K1852" t="s">
        <v>25</v>
      </c>
      <c r="L1852" t="s">
        <v>26</v>
      </c>
      <c r="M1852" t="b">
        <v>1</v>
      </c>
      <c r="N1852" t="s">
        <v>419</v>
      </c>
      <c r="Q1852" t="b">
        <v>0</v>
      </c>
      <c r="S1852" t="str">
        <f>"9780310632023"</f>
        <v>9780310632023</v>
      </c>
      <c r="T1852" t="str">
        <f>"9780310632108"</f>
        <v>9780310632108</v>
      </c>
      <c r="U1852" t="b">
        <v>0</v>
      </c>
      <c r="W1852" t="b">
        <v>0</v>
      </c>
    </row>
    <row r="1853" spans="1:23" x14ac:dyDescent="0.3">
      <c r="A1853">
        <v>2980957</v>
      </c>
      <c r="B1853">
        <v>65.52</v>
      </c>
      <c r="C1853" t="s">
        <v>4170</v>
      </c>
      <c r="E1853" t="s">
        <v>23</v>
      </c>
      <c r="F1853" t="s">
        <v>44</v>
      </c>
      <c r="G1853">
        <v>2018</v>
      </c>
      <c r="H1853" t="s">
        <v>1209</v>
      </c>
      <c r="K1853" t="s">
        <v>25</v>
      </c>
      <c r="L1853" t="s">
        <v>26</v>
      </c>
      <c r="M1853" t="b">
        <v>1</v>
      </c>
      <c r="N1853" t="s">
        <v>4171</v>
      </c>
      <c r="Q1853" t="b">
        <v>0</v>
      </c>
      <c r="S1853" t="str">
        <f>"9780310357445"</f>
        <v>9780310357445</v>
      </c>
      <c r="T1853" t="str">
        <f>"9780310357452"</f>
        <v>9780310357452</v>
      </c>
      <c r="U1853" t="b">
        <v>0</v>
      </c>
      <c r="W1853" t="b">
        <v>0</v>
      </c>
    </row>
    <row r="1854" spans="1:23" x14ac:dyDescent="0.3">
      <c r="A1854">
        <v>2980956</v>
      </c>
      <c r="B1854">
        <v>86.22</v>
      </c>
      <c r="C1854" t="s">
        <v>4172</v>
      </c>
      <c r="D1854" t="s">
        <v>4173</v>
      </c>
      <c r="E1854" t="s">
        <v>23</v>
      </c>
      <c r="F1854" t="s">
        <v>44</v>
      </c>
      <c r="G1854">
        <v>2020</v>
      </c>
      <c r="H1854" t="s">
        <v>4174</v>
      </c>
      <c r="K1854" t="s">
        <v>25</v>
      </c>
      <c r="L1854" t="s">
        <v>26</v>
      </c>
      <c r="M1854" t="b">
        <v>1</v>
      </c>
      <c r="N1854" t="s">
        <v>3760</v>
      </c>
      <c r="Q1854" t="b">
        <v>0</v>
      </c>
      <c r="S1854" t="str">
        <f>"9780310358640"</f>
        <v>9780310358640</v>
      </c>
      <c r="T1854" t="str">
        <f>"9780310358657"</f>
        <v>9780310358657</v>
      </c>
      <c r="U1854" t="b">
        <v>0</v>
      </c>
      <c r="W1854" t="b">
        <v>0</v>
      </c>
    </row>
    <row r="1855" spans="1:23" x14ac:dyDescent="0.3">
      <c r="A1855">
        <v>2980955</v>
      </c>
      <c r="B1855">
        <v>55.17</v>
      </c>
      <c r="C1855" t="s">
        <v>4175</v>
      </c>
      <c r="E1855" t="s">
        <v>23</v>
      </c>
      <c r="F1855" t="s">
        <v>44</v>
      </c>
      <c r="G1855">
        <v>2014</v>
      </c>
      <c r="H1855" t="s">
        <v>66</v>
      </c>
      <c r="K1855" t="s">
        <v>25</v>
      </c>
      <c r="L1855" t="s">
        <v>30</v>
      </c>
      <c r="M1855" t="b">
        <v>1</v>
      </c>
      <c r="N1855" t="s">
        <v>2632</v>
      </c>
      <c r="P1855" t="s">
        <v>2633</v>
      </c>
      <c r="Q1855" t="b">
        <v>1</v>
      </c>
      <c r="S1855" t="str">
        <f>"9780310334545"</f>
        <v>9780310334545</v>
      </c>
      <c r="T1855" t="str">
        <f>"9780310334521"</f>
        <v>9780310334521</v>
      </c>
      <c r="U1855" t="b">
        <v>0</v>
      </c>
      <c r="W1855" t="b">
        <v>0</v>
      </c>
    </row>
    <row r="1856" spans="1:23" x14ac:dyDescent="0.3">
      <c r="A1856">
        <v>2980954</v>
      </c>
      <c r="B1856">
        <v>51.72</v>
      </c>
      <c r="C1856" t="s">
        <v>4176</v>
      </c>
      <c r="D1856" t="s">
        <v>4177</v>
      </c>
      <c r="E1856" t="s">
        <v>23</v>
      </c>
      <c r="F1856" t="s">
        <v>44</v>
      </c>
      <c r="G1856">
        <v>2010</v>
      </c>
      <c r="H1856" t="s">
        <v>99</v>
      </c>
      <c r="I1856" t="s">
        <v>4178</v>
      </c>
      <c r="J1856" t="s">
        <v>4179</v>
      </c>
      <c r="K1856" t="s">
        <v>25</v>
      </c>
      <c r="L1856" t="s">
        <v>30</v>
      </c>
      <c r="M1856" t="b">
        <v>1</v>
      </c>
      <c r="N1856" t="s">
        <v>4180</v>
      </c>
      <c r="O1856" t="str">
        <f>"230/.42"</f>
        <v>230/.42</v>
      </c>
      <c r="Q1856" t="b">
        <v>0</v>
      </c>
      <c r="S1856" t="str">
        <f>"9780310231974"</f>
        <v>9780310231974</v>
      </c>
      <c r="T1856" t="str">
        <f>"9780310871606"</f>
        <v>9780310871606</v>
      </c>
      <c r="U1856" t="b">
        <v>0</v>
      </c>
      <c r="W1856" t="b">
        <v>0</v>
      </c>
    </row>
    <row r="1857" spans="1:23" x14ac:dyDescent="0.3">
      <c r="A1857">
        <v>2980953</v>
      </c>
      <c r="B1857">
        <v>55.17</v>
      </c>
      <c r="C1857" t="s">
        <v>4181</v>
      </c>
      <c r="E1857" t="s">
        <v>23</v>
      </c>
      <c r="F1857" t="s">
        <v>44</v>
      </c>
      <c r="G1857">
        <v>2012</v>
      </c>
      <c r="H1857" t="s">
        <v>66</v>
      </c>
      <c r="K1857" t="s">
        <v>25</v>
      </c>
      <c r="L1857" t="s">
        <v>30</v>
      </c>
      <c r="M1857" t="b">
        <v>1</v>
      </c>
      <c r="N1857" t="s">
        <v>2865</v>
      </c>
      <c r="P1857" t="s">
        <v>4182</v>
      </c>
      <c r="Q1857" t="b">
        <v>1</v>
      </c>
      <c r="S1857" t="str">
        <f>"9780310330158"</f>
        <v>9780310330158</v>
      </c>
      <c r="T1857" t="str">
        <f>"9780310410447"</f>
        <v>9780310410447</v>
      </c>
      <c r="U1857" t="b">
        <v>0</v>
      </c>
      <c r="W1857" t="b">
        <v>0</v>
      </c>
    </row>
    <row r="1858" spans="1:23" x14ac:dyDescent="0.3">
      <c r="A1858">
        <v>2980952</v>
      </c>
      <c r="B1858">
        <v>58.62</v>
      </c>
      <c r="C1858" t="s">
        <v>4183</v>
      </c>
      <c r="D1858" t="s">
        <v>4184</v>
      </c>
      <c r="E1858" t="s">
        <v>23</v>
      </c>
      <c r="F1858" t="s">
        <v>44</v>
      </c>
      <c r="G1858">
        <v>2018</v>
      </c>
      <c r="H1858" t="s">
        <v>121</v>
      </c>
      <c r="K1858" t="s">
        <v>25</v>
      </c>
      <c r="L1858" t="s">
        <v>26</v>
      </c>
      <c r="M1858" t="b">
        <v>1</v>
      </c>
      <c r="N1858" t="s">
        <v>3585</v>
      </c>
      <c r="Q1858" t="b">
        <v>0</v>
      </c>
      <c r="S1858" t="str">
        <f>"9780310094890"</f>
        <v>9780310094890</v>
      </c>
      <c r="T1858" t="str">
        <f>"9780310094906"</f>
        <v>9780310094906</v>
      </c>
      <c r="U1858" t="b">
        <v>0</v>
      </c>
      <c r="W1858" t="b">
        <v>0</v>
      </c>
    </row>
    <row r="1859" spans="1:23" x14ac:dyDescent="0.3">
      <c r="A1859">
        <v>2980951</v>
      </c>
      <c r="B1859">
        <v>44.82</v>
      </c>
      <c r="C1859" t="s">
        <v>4185</v>
      </c>
      <c r="E1859" t="s">
        <v>23</v>
      </c>
      <c r="F1859" t="s">
        <v>44</v>
      </c>
      <c r="G1859">
        <v>2009</v>
      </c>
      <c r="H1859" t="s">
        <v>728</v>
      </c>
      <c r="K1859" t="s">
        <v>25</v>
      </c>
      <c r="L1859" t="s">
        <v>30</v>
      </c>
      <c r="M1859" t="b">
        <v>1</v>
      </c>
      <c r="N1859" t="s">
        <v>2902</v>
      </c>
      <c r="Q1859" t="b">
        <v>1</v>
      </c>
      <c r="S1859" t="str">
        <f>"9780310262244"</f>
        <v>9780310262244</v>
      </c>
      <c r="T1859" t="str">
        <f>"9780310862017"</f>
        <v>9780310862017</v>
      </c>
      <c r="U1859" t="b">
        <v>0</v>
      </c>
      <c r="W1859" t="b">
        <v>0</v>
      </c>
    </row>
    <row r="1860" spans="1:23" x14ac:dyDescent="0.3">
      <c r="A1860">
        <v>2980950</v>
      </c>
      <c r="B1860">
        <v>58.62</v>
      </c>
      <c r="C1860" t="s">
        <v>4186</v>
      </c>
      <c r="D1860" t="s">
        <v>4187</v>
      </c>
      <c r="E1860" t="s">
        <v>23</v>
      </c>
      <c r="F1860" t="s">
        <v>44</v>
      </c>
      <c r="G1860">
        <v>2014</v>
      </c>
      <c r="H1860" t="s">
        <v>58</v>
      </c>
      <c r="K1860" t="s">
        <v>25</v>
      </c>
      <c r="L1860" t="s">
        <v>30</v>
      </c>
      <c r="M1860" t="b">
        <v>1</v>
      </c>
      <c r="N1860" t="s">
        <v>3467</v>
      </c>
      <c r="Q1860" t="b">
        <v>0</v>
      </c>
      <c r="S1860" t="str">
        <f>"9780310337768"</f>
        <v>9780310337768</v>
      </c>
      <c r="T1860" t="str">
        <f>"9780310337850"</f>
        <v>9780310337850</v>
      </c>
      <c r="U1860" t="b">
        <v>0</v>
      </c>
      <c r="W1860" t="b">
        <v>0</v>
      </c>
    </row>
    <row r="1861" spans="1:23" x14ac:dyDescent="0.3">
      <c r="A1861">
        <v>2980949</v>
      </c>
      <c r="B1861">
        <v>34.47</v>
      </c>
      <c r="C1861" t="s">
        <v>4188</v>
      </c>
      <c r="E1861" t="s">
        <v>23</v>
      </c>
      <c r="F1861" t="s">
        <v>44</v>
      </c>
      <c r="G1861">
        <v>2009</v>
      </c>
      <c r="H1861" t="s">
        <v>58</v>
      </c>
      <c r="K1861" t="s">
        <v>25</v>
      </c>
      <c r="L1861" t="s">
        <v>30</v>
      </c>
      <c r="M1861" t="b">
        <v>1</v>
      </c>
      <c r="N1861" t="s">
        <v>755</v>
      </c>
      <c r="Q1861" t="b">
        <v>0</v>
      </c>
      <c r="S1861" t="str">
        <f>"9780310246794"</f>
        <v>9780310246794</v>
      </c>
      <c r="T1861" t="str">
        <f>"9780310565789"</f>
        <v>9780310565789</v>
      </c>
      <c r="U1861" t="b">
        <v>0</v>
      </c>
      <c r="W1861" t="b">
        <v>0</v>
      </c>
    </row>
    <row r="1862" spans="1:23" x14ac:dyDescent="0.3">
      <c r="A1862">
        <v>2980948</v>
      </c>
      <c r="B1862">
        <v>35.5</v>
      </c>
      <c r="C1862" t="s">
        <v>4189</v>
      </c>
      <c r="E1862" t="s">
        <v>23</v>
      </c>
      <c r="F1862" t="s">
        <v>44</v>
      </c>
      <c r="G1862">
        <v>2009</v>
      </c>
      <c r="H1862" t="s">
        <v>62</v>
      </c>
      <c r="K1862" t="s">
        <v>25</v>
      </c>
      <c r="L1862" t="s">
        <v>30</v>
      </c>
      <c r="M1862" t="b">
        <v>1</v>
      </c>
      <c r="N1862" t="s">
        <v>4190</v>
      </c>
      <c r="Q1862" t="b">
        <v>0</v>
      </c>
      <c r="T1862" t="str">
        <f>"9780310868392"</f>
        <v>9780310868392</v>
      </c>
      <c r="U1862" t="b">
        <v>0</v>
      </c>
      <c r="W1862" t="b">
        <v>0</v>
      </c>
    </row>
    <row r="1863" spans="1:23" x14ac:dyDescent="0.3">
      <c r="A1863">
        <v>2980947</v>
      </c>
      <c r="B1863">
        <v>14.18</v>
      </c>
      <c r="C1863" t="s">
        <v>4191</v>
      </c>
      <c r="D1863" t="s">
        <v>4192</v>
      </c>
      <c r="E1863" t="s">
        <v>23</v>
      </c>
      <c r="F1863" t="s">
        <v>44</v>
      </c>
      <c r="G1863">
        <v>2015</v>
      </c>
      <c r="H1863" t="s">
        <v>728</v>
      </c>
      <c r="K1863" t="s">
        <v>25</v>
      </c>
      <c r="L1863" t="s">
        <v>30</v>
      </c>
      <c r="M1863" t="b">
        <v>1</v>
      </c>
      <c r="N1863" t="s">
        <v>4193</v>
      </c>
      <c r="P1863" t="s">
        <v>2785</v>
      </c>
      <c r="Q1863" t="b">
        <v>1</v>
      </c>
      <c r="T1863" t="str">
        <f>"9780310396116"</f>
        <v>9780310396116</v>
      </c>
      <c r="U1863" t="b">
        <v>0</v>
      </c>
      <c r="W1863" t="b">
        <v>0</v>
      </c>
    </row>
    <row r="1864" spans="1:23" x14ac:dyDescent="0.3">
      <c r="A1864">
        <v>2980946</v>
      </c>
      <c r="B1864">
        <v>34.47</v>
      </c>
      <c r="C1864" t="s">
        <v>4194</v>
      </c>
      <c r="D1864" t="s">
        <v>4195</v>
      </c>
      <c r="E1864" t="s">
        <v>23</v>
      </c>
      <c r="F1864" t="s">
        <v>44</v>
      </c>
      <c r="G1864">
        <v>2009</v>
      </c>
      <c r="H1864" t="s">
        <v>56</v>
      </c>
      <c r="K1864" t="s">
        <v>25</v>
      </c>
      <c r="L1864" t="s">
        <v>30</v>
      </c>
      <c r="M1864" t="b">
        <v>1</v>
      </c>
      <c r="N1864" t="s">
        <v>4196</v>
      </c>
      <c r="Q1864" t="b">
        <v>0</v>
      </c>
      <c r="S1864" t="str">
        <f>"9780310265375"</f>
        <v>9780310265375</v>
      </c>
      <c r="T1864" t="str">
        <f>"9780310862772"</f>
        <v>9780310862772</v>
      </c>
      <c r="U1864" t="b">
        <v>0</v>
      </c>
      <c r="W1864" t="b">
        <v>0</v>
      </c>
    </row>
    <row r="1865" spans="1:23" x14ac:dyDescent="0.3">
      <c r="A1865">
        <v>2980945</v>
      </c>
      <c r="B1865">
        <v>27.57</v>
      </c>
      <c r="C1865" t="s">
        <v>4197</v>
      </c>
      <c r="D1865" t="s">
        <v>4198</v>
      </c>
      <c r="E1865" t="s">
        <v>23</v>
      </c>
      <c r="F1865" t="s">
        <v>44</v>
      </c>
      <c r="G1865">
        <v>2014</v>
      </c>
      <c r="H1865" t="s">
        <v>62</v>
      </c>
      <c r="K1865" t="s">
        <v>25</v>
      </c>
      <c r="L1865" t="s">
        <v>30</v>
      </c>
      <c r="M1865" t="b">
        <v>1</v>
      </c>
      <c r="N1865" t="s">
        <v>4199</v>
      </c>
      <c r="P1865" t="s">
        <v>3507</v>
      </c>
      <c r="Q1865" t="b">
        <v>0</v>
      </c>
      <c r="S1865" t="str">
        <f>"9780310433200"</f>
        <v>9780310433200</v>
      </c>
      <c r="T1865" t="str">
        <f>"9780310433422"</f>
        <v>9780310433422</v>
      </c>
      <c r="U1865" t="b">
        <v>0</v>
      </c>
      <c r="W1865" t="b">
        <v>0</v>
      </c>
    </row>
    <row r="1866" spans="1:23" x14ac:dyDescent="0.3">
      <c r="A1866">
        <v>2980944</v>
      </c>
      <c r="B1866">
        <v>86.22</v>
      </c>
      <c r="C1866" t="s">
        <v>4200</v>
      </c>
      <c r="D1866" t="s">
        <v>4201</v>
      </c>
      <c r="E1866" t="s">
        <v>23</v>
      </c>
      <c r="F1866" t="s">
        <v>44</v>
      </c>
      <c r="G1866">
        <v>2017</v>
      </c>
      <c r="H1866" t="s">
        <v>912</v>
      </c>
      <c r="K1866" t="s">
        <v>25</v>
      </c>
      <c r="L1866" t="s">
        <v>26</v>
      </c>
      <c r="M1866" t="b">
        <v>1</v>
      </c>
      <c r="N1866" t="s">
        <v>3705</v>
      </c>
      <c r="Q1866" t="b">
        <v>0</v>
      </c>
      <c r="S1866" t="str">
        <f>"9780310349402"</f>
        <v>9780310349402</v>
      </c>
      <c r="T1866" t="str">
        <f>"9780310350170"</f>
        <v>9780310350170</v>
      </c>
      <c r="U1866" t="b">
        <v>0</v>
      </c>
      <c r="W1866" t="b">
        <v>0</v>
      </c>
    </row>
    <row r="1867" spans="1:23" x14ac:dyDescent="0.3">
      <c r="A1867">
        <v>2980943</v>
      </c>
      <c r="B1867">
        <v>35.5</v>
      </c>
      <c r="C1867" t="s">
        <v>4202</v>
      </c>
      <c r="E1867" t="s">
        <v>23</v>
      </c>
      <c r="F1867" t="s">
        <v>44</v>
      </c>
      <c r="G1867">
        <v>2015</v>
      </c>
      <c r="H1867" t="s">
        <v>849</v>
      </c>
      <c r="K1867" t="s">
        <v>25</v>
      </c>
      <c r="L1867" t="s">
        <v>26</v>
      </c>
      <c r="M1867" t="b">
        <v>1</v>
      </c>
      <c r="N1867" t="s">
        <v>3913</v>
      </c>
      <c r="Q1867" t="b">
        <v>1</v>
      </c>
      <c r="S1867" t="str">
        <f>"9780310333449"</f>
        <v>9780310333449</v>
      </c>
      <c r="T1867" t="str">
        <f>"9780310333463"</f>
        <v>9780310333463</v>
      </c>
      <c r="U1867" t="b">
        <v>0</v>
      </c>
      <c r="W1867" t="b">
        <v>0</v>
      </c>
    </row>
    <row r="1868" spans="1:23" x14ac:dyDescent="0.3">
      <c r="A1868">
        <v>2980942</v>
      </c>
      <c r="B1868">
        <v>58.62</v>
      </c>
      <c r="C1868" t="s">
        <v>4203</v>
      </c>
      <c r="D1868" t="s">
        <v>4204</v>
      </c>
      <c r="E1868" t="s">
        <v>23</v>
      </c>
      <c r="F1868" t="s">
        <v>44</v>
      </c>
      <c r="G1868">
        <v>2017</v>
      </c>
      <c r="H1868" t="s">
        <v>58</v>
      </c>
      <c r="K1868" t="s">
        <v>25</v>
      </c>
      <c r="L1868" t="s">
        <v>26</v>
      </c>
      <c r="M1868" t="b">
        <v>1</v>
      </c>
      <c r="N1868" t="s">
        <v>4205</v>
      </c>
      <c r="Q1868" t="b">
        <v>0</v>
      </c>
      <c r="S1868" t="str">
        <f>"9780310347767"</f>
        <v>9780310347767</v>
      </c>
      <c r="T1868" t="str">
        <f>"9780310347729"</f>
        <v>9780310347729</v>
      </c>
      <c r="U1868" t="b">
        <v>0</v>
      </c>
      <c r="W1868" t="b">
        <v>0</v>
      </c>
    </row>
    <row r="1869" spans="1:23" x14ac:dyDescent="0.3">
      <c r="A1869">
        <v>2980941</v>
      </c>
      <c r="B1869">
        <v>28.39</v>
      </c>
      <c r="C1869" t="s">
        <v>1369</v>
      </c>
      <c r="D1869" t="s">
        <v>4206</v>
      </c>
      <c r="E1869" t="s">
        <v>23</v>
      </c>
      <c r="F1869" t="s">
        <v>44</v>
      </c>
      <c r="G1869">
        <v>2012</v>
      </c>
      <c r="H1869" t="s">
        <v>1848</v>
      </c>
      <c r="K1869" t="s">
        <v>25</v>
      </c>
      <c r="L1869" t="s">
        <v>30</v>
      </c>
      <c r="M1869" t="b">
        <v>1</v>
      </c>
      <c r="N1869" t="s">
        <v>918</v>
      </c>
      <c r="Q1869" t="b">
        <v>0</v>
      </c>
      <c r="S1869" t="str">
        <f>"9780310724346"</f>
        <v>9780310724346</v>
      </c>
      <c r="T1869" t="str">
        <f>"9780310724353"</f>
        <v>9780310724353</v>
      </c>
      <c r="U1869" t="b">
        <v>0</v>
      </c>
      <c r="W1869" t="b">
        <v>0</v>
      </c>
    </row>
    <row r="1870" spans="1:23" x14ac:dyDescent="0.3">
      <c r="A1870">
        <v>2980940</v>
      </c>
      <c r="B1870">
        <v>34.47</v>
      </c>
      <c r="C1870" t="s">
        <v>4207</v>
      </c>
      <c r="E1870" t="s">
        <v>23</v>
      </c>
      <c r="F1870" t="s">
        <v>44</v>
      </c>
      <c r="G1870">
        <v>2009</v>
      </c>
      <c r="H1870" t="s">
        <v>531</v>
      </c>
      <c r="K1870" t="s">
        <v>25</v>
      </c>
      <c r="L1870" t="s">
        <v>30</v>
      </c>
      <c r="M1870" t="b">
        <v>1</v>
      </c>
      <c r="N1870" t="s">
        <v>1285</v>
      </c>
      <c r="Q1870" t="b">
        <v>0</v>
      </c>
      <c r="S1870" t="str">
        <f>"9780310279280"</f>
        <v>9780310279280</v>
      </c>
      <c r="T1870" t="str">
        <f>"9780310864837"</f>
        <v>9780310864837</v>
      </c>
      <c r="U1870" t="b">
        <v>0</v>
      </c>
      <c r="W1870" t="b">
        <v>0</v>
      </c>
    </row>
    <row r="1871" spans="1:23" x14ac:dyDescent="0.3">
      <c r="A1871">
        <v>2980939</v>
      </c>
      <c r="B1871">
        <v>34.47</v>
      </c>
      <c r="C1871" t="s">
        <v>4208</v>
      </c>
      <c r="D1871" t="s">
        <v>4209</v>
      </c>
      <c r="E1871" t="s">
        <v>23</v>
      </c>
      <c r="F1871" t="s">
        <v>44</v>
      </c>
      <c r="G1871">
        <v>2012</v>
      </c>
      <c r="H1871" t="s">
        <v>531</v>
      </c>
      <c r="K1871" t="s">
        <v>25</v>
      </c>
      <c r="L1871" t="s">
        <v>30</v>
      </c>
      <c r="M1871" t="b">
        <v>1</v>
      </c>
      <c r="N1871" t="s">
        <v>4210</v>
      </c>
      <c r="Q1871" t="b">
        <v>0</v>
      </c>
      <c r="S1871" t="str">
        <f>"9780310730040"</f>
        <v>9780310730040</v>
      </c>
      <c r="T1871" t="str">
        <f>"9780310730057"</f>
        <v>9780310730057</v>
      </c>
      <c r="U1871" t="b">
        <v>0</v>
      </c>
      <c r="W1871" t="b">
        <v>0</v>
      </c>
    </row>
    <row r="1872" spans="1:23" x14ac:dyDescent="0.3">
      <c r="A1872">
        <v>2980938</v>
      </c>
      <c r="B1872">
        <v>93.12</v>
      </c>
      <c r="C1872" t="s">
        <v>4211</v>
      </c>
      <c r="D1872" t="s">
        <v>4212</v>
      </c>
      <c r="E1872" t="s">
        <v>23</v>
      </c>
      <c r="F1872" t="s">
        <v>44</v>
      </c>
      <c r="G1872">
        <v>2020</v>
      </c>
      <c r="H1872" t="s">
        <v>1236</v>
      </c>
      <c r="I1872" t="s">
        <v>4213</v>
      </c>
      <c r="J1872" t="s">
        <v>4214</v>
      </c>
      <c r="K1872" t="s">
        <v>25</v>
      </c>
      <c r="L1872" t="s">
        <v>26</v>
      </c>
      <c r="M1872" t="b">
        <v>1</v>
      </c>
      <c r="N1872" t="s">
        <v>4215</v>
      </c>
      <c r="O1872" t="str">
        <f>"613.2/5"</f>
        <v>613.2/5</v>
      </c>
      <c r="Q1872" t="b">
        <v>0</v>
      </c>
      <c r="S1872" t="str">
        <f>"9780310454519"</f>
        <v>9780310454519</v>
      </c>
      <c r="T1872" t="str">
        <f>"9780310454526"</f>
        <v>9780310454526</v>
      </c>
      <c r="U1872" t="b">
        <v>0</v>
      </c>
      <c r="W1872" t="b">
        <v>0</v>
      </c>
    </row>
    <row r="1873" spans="1:23" x14ac:dyDescent="0.3">
      <c r="A1873">
        <v>2980937</v>
      </c>
      <c r="B1873">
        <v>85.25</v>
      </c>
      <c r="C1873" t="s">
        <v>4216</v>
      </c>
      <c r="D1873" t="s">
        <v>4217</v>
      </c>
      <c r="E1873" t="s">
        <v>23</v>
      </c>
      <c r="F1873" t="s">
        <v>44</v>
      </c>
      <c r="G1873">
        <v>2015</v>
      </c>
      <c r="H1873" t="s">
        <v>3108</v>
      </c>
      <c r="K1873" t="s">
        <v>25</v>
      </c>
      <c r="L1873" t="s">
        <v>30</v>
      </c>
      <c r="M1873" t="b">
        <v>1</v>
      </c>
      <c r="N1873" t="s">
        <v>740</v>
      </c>
      <c r="P1873" t="s">
        <v>1560</v>
      </c>
      <c r="Q1873" t="b">
        <v>0</v>
      </c>
      <c r="T1873" t="str">
        <f>"9780310749219"</f>
        <v>9780310749219</v>
      </c>
      <c r="U1873" t="b">
        <v>0</v>
      </c>
      <c r="W1873" t="b">
        <v>0</v>
      </c>
    </row>
    <row r="1874" spans="1:23" x14ac:dyDescent="0.3">
      <c r="A1874">
        <v>2980936</v>
      </c>
      <c r="B1874">
        <v>55.17</v>
      </c>
      <c r="C1874" t="s">
        <v>4218</v>
      </c>
      <c r="D1874" t="s">
        <v>4219</v>
      </c>
      <c r="E1874" t="s">
        <v>23</v>
      </c>
      <c r="F1874" t="s">
        <v>44</v>
      </c>
      <c r="G1874">
        <v>2015</v>
      </c>
      <c r="H1874" t="s">
        <v>89</v>
      </c>
      <c r="K1874" t="s">
        <v>25</v>
      </c>
      <c r="L1874" t="s">
        <v>30</v>
      </c>
      <c r="M1874" t="b">
        <v>1</v>
      </c>
      <c r="N1874" t="s">
        <v>4220</v>
      </c>
      <c r="Q1874" t="b">
        <v>0</v>
      </c>
      <c r="S1874" t="str">
        <f>"9780310340966"</f>
        <v>9780310340966</v>
      </c>
      <c r="T1874" t="str">
        <f>"9780310340973"</f>
        <v>9780310340973</v>
      </c>
      <c r="U1874" t="b">
        <v>0</v>
      </c>
      <c r="W1874" t="b">
        <v>0</v>
      </c>
    </row>
    <row r="1875" spans="1:23" x14ac:dyDescent="0.3">
      <c r="A1875">
        <v>2980935</v>
      </c>
      <c r="B1875">
        <v>7.07</v>
      </c>
      <c r="C1875" t="s">
        <v>4221</v>
      </c>
      <c r="D1875" t="s">
        <v>4222</v>
      </c>
      <c r="E1875" t="s">
        <v>23</v>
      </c>
      <c r="F1875" t="s">
        <v>44</v>
      </c>
      <c r="G1875">
        <v>2009</v>
      </c>
      <c r="H1875" t="s">
        <v>58</v>
      </c>
      <c r="I1875" t="s">
        <v>1139</v>
      </c>
      <c r="J1875" t="s">
        <v>895</v>
      </c>
      <c r="K1875" t="s">
        <v>25</v>
      </c>
      <c r="L1875" t="s">
        <v>30</v>
      </c>
      <c r="M1875" t="b">
        <v>1</v>
      </c>
      <c r="N1875" t="s">
        <v>915</v>
      </c>
      <c r="O1875" t="str">
        <f>"232"</f>
        <v>232</v>
      </c>
      <c r="Q1875" t="b">
        <v>0</v>
      </c>
      <c r="S1875" t="str">
        <f>"9780310287872"</f>
        <v>9780310287872</v>
      </c>
      <c r="T1875" t="str">
        <f>"9780310866138"</f>
        <v>9780310866138</v>
      </c>
      <c r="U1875" t="b">
        <v>0</v>
      </c>
      <c r="W1875" t="b">
        <v>0</v>
      </c>
    </row>
    <row r="1876" spans="1:23" x14ac:dyDescent="0.3">
      <c r="A1876">
        <v>2980934</v>
      </c>
      <c r="B1876">
        <v>58.62</v>
      </c>
      <c r="C1876" t="s">
        <v>4223</v>
      </c>
      <c r="D1876" t="s">
        <v>4224</v>
      </c>
      <c r="E1876" t="s">
        <v>23</v>
      </c>
      <c r="F1876" t="s">
        <v>44</v>
      </c>
      <c r="G1876">
        <v>2013</v>
      </c>
      <c r="H1876" t="s">
        <v>58</v>
      </c>
      <c r="K1876" t="s">
        <v>25</v>
      </c>
      <c r="L1876" t="s">
        <v>30</v>
      </c>
      <c r="M1876" t="b">
        <v>1</v>
      </c>
      <c r="N1876" t="s">
        <v>4225</v>
      </c>
      <c r="Q1876" t="b">
        <v>0</v>
      </c>
      <c r="S1876" t="str">
        <f>"9780310334989"</f>
        <v>9780310334989</v>
      </c>
      <c r="T1876" t="str">
        <f>"9780310334996"</f>
        <v>9780310334996</v>
      </c>
      <c r="U1876" t="b">
        <v>0</v>
      </c>
      <c r="W1876" t="b">
        <v>0</v>
      </c>
    </row>
    <row r="1877" spans="1:23" x14ac:dyDescent="0.3">
      <c r="A1877">
        <v>2980933</v>
      </c>
      <c r="B1877">
        <v>21.29</v>
      </c>
      <c r="C1877" t="s">
        <v>4226</v>
      </c>
      <c r="D1877" t="s">
        <v>4227</v>
      </c>
      <c r="E1877" t="s">
        <v>23</v>
      </c>
      <c r="F1877" t="s">
        <v>44</v>
      </c>
      <c r="G1877">
        <v>2018</v>
      </c>
      <c r="H1877" t="s">
        <v>728</v>
      </c>
      <c r="K1877" t="s">
        <v>25</v>
      </c>
      <c r="L1877" t="s">
        <v>26</v>
      </c>
      <c r="M1877" t="b">
        <v>1</v>
      </c>
      <c r="N1877" t="s">
        <v>776</v>
      </c>
      <c r="Q1877" t="b">
        <v>1</v>
      </c>
      <c r="T1877" t="str">
        <f>"9780718091163"</f>
        <v>9780718091163</v>
      </c>
      <c r="U1877" t="b">
        <v>0</v>
      </c>
      <c r="W1877" t="b">
        <v>0</v>
      </c>
    </row>
    <row r="1878" spans="1:23" x14ac:dyDescent="0.3">
      <c r="A1878">
        <v>2980932</v>
      </c>
      <c r="B1878">
        <v>27.57</v>
      </c>
      <c r="C1878" t="s">
        <v>4228</v>
      </c>
      <c r="D1878" t="s">
        <v>2723</v>
      </c>
      <c r="E1878" t="s">
        <v>23</v>
      </c>
      <c r="F1878" t="s">
        <v>44</v>
      </c>
      <c r="G1878">
        <v>2019</v>
      </c>
      <c r="H1878" t="s">
        <v>772</v>
      </c>
      <c r="K1878" t="s">
        <v>25</v>
      </c>
      <c r="L1878" t="s">
        <v>26</v>
      </c>
      <c r="M1878" t="b">
        <v>1</v>
      </c>
      <c r="N1878" t="s">
        <v>776</v>
      </c>
      <c r="Q1878" t="b">
        <v>1</v>
      </c>
      <c r="S1878" t="str">
        <f>"9780310360360"</f>
        <v>9780310360360</v>
      </c>
      <c r="T1878" t="str">
        <f>"9780310354321"</f>
        <v>9780310354321</v>
      </c>
      <c r="U1878" t="b">
        <v>0</v>
      </c>
      <c r="W1878" t="b">
        <v>0</v>
      </c>
    </row>
    <row r="1879" spans="1:23" x14ac:dyDescent="0.3">
      <c r="A1879">
        <v>2980931</v>
      </c>
      <c r="B1879">
        <v>44.82</v>
      </c>
      <c r="C1879" t="s">
        <v>4229</v>
      </c>
      <c r="D1879" t="s">
        <v>4230</v>
      </c>
      <c r="E1879" t="s">
        <v>23</v>
      </c>
      <c r="F1879" t="s">
        <v>44</v>
      </c>
      <c r="G1879">
        <v>2019</v>
      </c>
      <c r="H1879" t="s">
        <v>4231</v>
      </c>
      <c r="K1879" t="s">
        <v>25</v>
      </c>
      <c r="L1879" t="s">
        <v>26</v>
      </c>
      <c r="M1879" t="b">
        <v>1</v>
      </c>
      <c r="N1879" t="s">
        <v>4232</v>
      </c>
      <c r="Q1879" t="b">
        <v>0</v>
      </c>
      <c r="S1879" t="str">
        <f>"9780310358466"</f>
        <v>9780310358466</v>
      </c>
      <c r="T1879" t="str">
        <f>"9780310358473"</f>
        <v>9780310358473</v>
      </c>
      <c r="U1879" t="b">
        <v>0</v>
      </c>
      <c r="W1879" t="b">
        <v>0</v>
      </c>
    </row>
    <row r="1880" spans="1:23" x14ac:dyDescent="0.3">
      <c r="A1880">
        <v>2980930</v>
      </c>
      <c r="B1880">
        <v>79.319999999999993</v>
      </c>
      <c r="C1880" t="s">
        <v>4233</v>
      </c>
      <c r="E1880" t="s">
        <v>23</v>
      </c>
      <c r="F1880" t="s">
        <v>44</v>
      </c>
      <c r="G1880">
        <v>2019</v>
      </c>
      <c r="H1880" t="s">
        <v>132</v>
      </c>
      <c r="K1880" t="s">
        <v>25</v>
      </c>
      <c r="L1880" t="s">
        <v>26</v>
      </c>
      <c r="M1880" t="b">
        <v>1</v>
      </c>
      <c r="N1880" t="s">
        <v>968</v>
      </c>
      <c r="Q1880" t="b">
        <v>0</v>
      </c>
      <c r="S1880" t="str">
        <f>"9780310357346"</f>
        <v>9780310357346</v>
      </c>
      <c r="T1880" t="str">
        <f>"9780310357353"</f>
        <v>9780310357353</v>
      </c>
      <c r="U1880" t="b">
        <v>0</v>
      </c>
      <c r="W1880" t="b">
        <v>0</v>
      </c>
    </row>
    <row r="1881" spans="1:23" x14ac:dyDescent="0.3">
      <c r="A1881">
        <v>2980929</v>
      </c>
      <c r="B1881">
        <v>62.07</v>
      </c>
      <c r="C1881" t="s">
        <v>4234</v>
      </c>
      <c r="D1881" t="s">
        <v>4235</v>
      </c>
      <c r="E1881" t="s">
        <v>23</v>
      </c>
      <c r="F1881" t="s">
        <v>44</v>
      </c>
      <c r="G1881">
        <v>2014</v>
      </c>
      <c r="H1881" t="s">
        <v>69</v>
      </c>
      <c r="K1881" t="s">
        <v>25</v>
      </c>
      <c r="L1881" t="s">
        <v>26</v>
      </c>
      <c r="M1881" t="b">
        <v>1</v>
      </c>
      <c r="N1881" t="s">
        <v>4236</v>
      </c>
      <c r="Q1881" t="b">
        <v>0</v>
      </c>
      <c r="S1881" t="str">
        <f>"9780310333845"</f>
        <v>9780310333845</v>
      </c>
      <c r="T1881" t="str">
        <f>"9780310337485"</f>
        <v>9780310337485</v>
      </c>
      <c r="U1881" t="b">
        <v>0</v>
      </c>
      <c r="W1881" t="b">
        <v>0</v>
      </c>
    </row>
    <row r="1882" spans="1:23" x14ac:dyDescent="0.3">
      <c r="A1882">
        <v>2980928</v>
      </c>
      <c r="B1882">
        <v>39.049999999999997</v>
      </c>
      <c r="C1882" t="s">
        <v>4237</v>
      </c>
      <c r="E1882" t="s">
        <v>23</v>
      </c>
      <c r="F1882" t="s">
        <v>44</v>
      </c>
      <c r="G1882">
        <v>2009</v>
      </c>
      <c r="H1882" t="s">
        <v>728</v>
      </c>
      <c r="K1882" t="s">
        <v>25</v>
      </c>
      <c r="L1882" t="s">
        <v>30</v>
      </c>
      <c r="M1882" t="b">
        <v>1</v>
      </c>
      <c r="N1882" t="s">
        <v>2902</v>
      </c>
      <c r="Q1882" t="b">
        <v>1</v>
      </c>
      <c r="T1882" t="str">
        <f>"9780310297673"</f>
        <v>9780310297673</v>
      </c>
      <c r="U1882" t="b">
        <v>0</v>
      </c>
      <c r="W1882" t="b">
        <v>0</v>
      </c>
    </row>
    <row r="1883" spans="1:23" x14ac:dyDescent="0.3">
      <c r="A1883">
        <v>2980927</v>
      </c>
      <c r="B1883">
        <v>34.47</v>
      </c>
      <c r="C1883" t="s">
        <v>4238</v>
      </c>
      <c r="E1883" t="s">
        <v>23</v>
      </c>
      <c r="F1883" t="s">
        <v>44</v>
      </c>
      <c r="G1883">
        <v>2011</v>
      </c>
      <c r="H1883" t="s">
        <v>4239</v>
      </c>
      <c r="K1883" t="s">
        <v>25</v>
      </c>
      <c r="L1883" t="s">
        <v>30</v>
      </c>
      <c r="M1883" t="b">
        <v>1</v>
      </c>
      <c r="N1883" t="s">
        <v>3825</v>
      </c>
      <c r="P1883" t="s">
        <v>3826</v>
      </c>
      <c r="Q1883" t="b">
        <v>0</v>
      </c>
      <c r="S1883" t="str">
        <f>"9780310718376"</f>
        <v>9780310718376</v>
      </c>
      <c r="T1883" t="str">
        <f>"9780310404781"</f>
        <v>9780310404781</v>
      </c>
      <c r="U1883" t="b">
        <v>0</v>
      </c>
      <c r="W1883" t="b">
        <v>0</v>
      </c>
    </row>
    <row r="1884" spans="1:23" x14ac:dyDescent="0.3">
      <c r="A1884">
        <v>2980926</v>
      </c>
      <c r="B1884">
        <v>44.82</v>
      </c>
      <c r="C1884" t="s">
        <v>4240</v>
      </c>
      <c r="D1884" t="s">
        <v>4241</v>
      </c>
      <c r="E1884" t="s">
        <v>23</v>
      </c>
      <c r="F1884" t="s">
        <v>44</v>
      </c>
      <c r="G1884">
        <v>2009</v>
      </c>
      <c r="H1884" t="s">
        <v>56</v>
      </c>
      <c r="K1884" t="s">
        <v>25</v>
      </c>
      <c r="L1884" t="s">
        <v>30</v>
      </c>
      <c r="M1884" t="b">
        <v>1</v>
      </c>
      <c r="N1884" t="s">
        <v>4242</v>
      </c>
      <c r="Q1884" t="b">
        <v>0</v>
      </c>
      <c r="S1884" t="str">
        <f>"9780310279211"</f>
        <v>9780310279211</v>
      </c>
      <c r="T1884" t="str">
        <f>"9780310298069"</f>
        <v>9780310298069</v>
      </c>
      <c r="U1884" t="b">
        <v>0</v>
      </c>
      <c r="W1884" t="b">
        <v>0</v>
      </c>
    </row>
    <row r="1885" spans="1:23" x14ac:dyDescent="0.3">
      <c r="A1885">
        <v>2980925</v>
      </c>
      <c r="B1885">
        <v>55.17</v>
      </c>
      <c r="C1885" t="s">
        <v>4243</v>
      </c>
      <c r="E1885" t="s">
        <v>23</v>
      </c>
      <c r="F1885" t="s">
        <v>44</v>
      </c>
      <c r="G1885">
        <v>2011</v>
      </c>
      <c r="H1885" t="s">
        <v>728</v>
      </c>
      <c r="K1885" t="s">
        <v>25</v>
      </c>
      <c r="L1885" t="s">
        <v>30</v>
      </c>
      <c r="M1885" t="b">
        <v>1</v>
      </c>
      <c r="N1885" t="s">
        <v>31</v>
      </c>
      <c r="P1885" t="s">
        <v>2732</v>
      </c>
      <c r="Q1885" t="b">
        <v>1</v>
      </c>
      <c r="S1885" t="str">
        <f>"9780310266280"</f>
        <v>9780310266280</v>
      </c>
      <c r="T1885" t="str">
        <f>"9780310411987"</f>
        <v>9780310411987</v>
      </c>
      <c r="U1885" t="b">
        <v>0</v>
      </c>
      <c r="W1885" t="b">
        <v>0</v>
      </c>
    </row>
    <row r="1886" spans="1:23" x14ac:dyDescent="0.3">
      <c r="A1886">
        <v>2980924</v>
      </c>
      <c r="B1886">
        <v>93.12</v>
      </c>
      <c r="C1886" t="s">
        <v>4244</v>
      </c>
      <c r="D1886" t="s">
        <v>4245</v>
      </c>
      <c r="E1886" t="s">
        <v>23</v>
      </c>
      <c r="F1886" t="s">
        <v>44</v>
      </c>
      <c r="G1886">
        <v>2019</v>
      </c>
      <c r="H1886" t="s">
        <v>99</v>
      </c>
      <c r="K1886" t="s">
        <v>25</v>
      </c>
      <c r="L1886" t="s">
        <v>26</v>
      </c>
      <c r="M1886" t="b">
        <v>1</v>
      </c>
      <c r="N1886" t="s">
        <v>1113</v>
      </c>
      <c r="Q1886" t="b">
        <v>0</v>
      </c>
      <c r="S1886" t="str">
        <f>"9780310356141"</f>
        <v>9780310356141</v>
      </c>
      <c r="T1886" t="str">
        <f>"9780310356189"</f>
        <v>9780310356189</v>
      </c>
      <c r="U1886" t="b">
        <v>0</v>
      </c>
      <c r="W1886" t="b">
        <v>0</v>
      </c>
    </row>
    <row r="1887" spans="1:23" x14ac:dyDescent="0.3">
      <c r="A1887">
        <v>2980923</v>
      </c>
      <c r="B1887">
        <v>31.02</v>
      </c>
      <c r="C1887" t="s">
        <v>4246</v>
      </c>
      <c r="D1887" t="s">
        <v>4247</v>
      </c>
      <c r="E1887" t="s">
        <v>23</v>
      </c>
      <c r="F1887" t="s">
        <v>44</v>
      </c>
      <c r="G1887">
        <v>2009</v>
      </c>
      <c r="H1887" t="s">
        <v>69</v>
      </c>
      <c r="I1887" t="s">
        <v>4248</v>
      </c>
      <c r="J1887" t="s">
        <v>4249</v>
      </c>
      <c r="K1887" t="s">
        <v>25</v>
      </c>
      <c r="L1887" t="s">
        <v>30</v>
      </c>
      <c r="M1887" t="b">
        <v>1</v>
      </c>
      <c r="N1887" t="s">
        <v>2666</v>
      </c>
      <c r="O1887" t="str">
        <f>"259/.14"</f>
        <v>259/.14</v>
      </c>
      <c r="Q1887" t="b">
        <v>0</v>
      </c>
      <c r="S1887" t="str">
        <f>"9780310270478"</f>
        <v>9780310270478</v>
      </c>
      <c r="T1887" t="str">
        <f>"9780310857723"</f>
        <v>9780310857723</v>
      </c>
      <c r="U1887" t="b">
        <v>0</v>
      </c>
      <c r="W1887" t="b">
        <v>0</v>
      </c>
    </row>
    <row r="1888" spans="1:23" x14ac:dyDescent="0.3">
      <c r="A1888">
        <v>2980922</v>
      </c>
      <c r="B1888">
        <v>35.5</v>
      </c>
      <c r="C1888" t="s">
        <v>4250</v>
      </c>
      <c r="D1888" t="s">
        <v>2978</v>
      </c>
      <c r="E1888" t="s">
        <v>23</v>
      </c>
      <c r="F1888" t="s">
        <v>44</v>
      </c>
      <c r="G1888">
        <v>2010</v>
      </c>
      <c r="H1888" t="s">
        <v>132</v>
      </c>
      <c r="K1888" t="s">
        <v>25</v>
      </c>
      <c r="L1888" t="s">
        <v>30</v>
      </c>
      <c r="M1888" t="b">
        <v>1</v>
      </c>
      <c r="N1888" t="s">
        <v>2979</v>
      </c>
      <c r="P1888" t="s">
        <v>2980</v>
      </c>
      <c r="Q1888" t="b">
        <v>0</v>
      </c>
      <c r="T1888" t="str">
        <f>"9780310395690"</f>
        <v>9780310395690</v>
      </c>
      <c r="U1888" t="b">
        <v>0</v>
      </c>
      <c r="W1888" t="b">
        <v>0</v>
      </c>
    </row>
    <row r="1889" spans="1:23" x14ac:dyDescent="0.3">
      <c r="A1889">
        <v>2980921</v>
      </c>
      <c r="B1889">
        <v>42.61</v>
      </c>
      <c r="C1889" t="s">
        <v>4251</v>
      </c>
      <c r="D1889" t="s">
        <v>4252</v>
      </c>
      <c r="E1889" t="s">
        <v>23</v>
      </c>
      <c r="F1889" t="s">
        <v>44</v>
      </c>
      <c r="G1889">
        <v>2009</v>
      </c>
      <c r="H1889" t="s">
        <v>68</v>
      </c>
      <c r="K1889" t="s">
        <v>25</v>
      </c>
      <c r="L1889" t="s">
        <v>30</v>
      </c>
      <c r="M1889" t="b">
        <v>1</v>
      </c>
      <c r="N1889" t="s">
        <v>3025</v>
      </c>
      <c r="Q1889" t="b">
        <v>0</v>
      </c>
      <c r="T1889" t="str">
        <f>"9780310316589"</f>
        <v>9780310316589</v>
      </c>
      <c r="U1889" t="b">
        <v>0</v>
      </c>
      <c r="W1889" t="b">
        <v>0</v>
      </c>
    </row>
    <row r="1890" spans="1:23" x14ac:dyDescent="0.3">
      <c r="A1890">
        <v>2980920</v>
      </c>
      <c r="B1890">
        <v>51.72</v>
      </c>
      <c r="C1890" t="s">
        <v>4253</v>
      </c>
      <c r="E1890" t="s">
        <v>23</v>
      </c>
      <c r="F1890" t="s">
        <v>44</v>
      </c>
      <c r="G1890">
        <v>2012</v>
      </c>
      <c r="H1890" t="s">
        <v>74</v>
      </c>
      <c r="K1890" t="s">
        <v>25</v>
      </c>
      <c r="L1890" t="s">
        <v>30</v>
      </c>
      <c r="M1890" t="b">
        <v>1</v>
      </c>
      <c r="N1890" t="s">
        <v>776</v>
      </c>
      <c r="P1890" t="s">
        <v>3326</v>
      </c>
      <c r="Q1890" t="b">
        <v>1</v>
      </c>
      <c r="S1890" t="str">
        <f>"9780310318767"</f>
        <v>9780310318767</v>
      </c>
      <c r="T1890" t="str">
        <f>"9780310319078"</f>
        <v>9780310319078</v>
      </c>
      <c r="U1890" t="b">
        <v>0</v>
      </c>
      <c r="W1890" t="b">
        <v>0</v>
      </c>
    </row>
    <row r="1891" spans="1:23" x14ac:dyDescent="0.3">
      <c r="A1891">
        <v>2980919</v>
      </c>
      <c r="B1891">
        <v>65.52</v>
      </c>
      <c r="C1891" t="s">
        <v>4254</v>
      </c>
      <c r="D1891" t="s">
        <v>4255</v>
      </c>
      <c r="E1891" t="s">
        <v>23</v>
      </c>
      <c r="F1891" t="s">
        <v>44</v>
      </c>
      <c r="G1891">
        <v>2020</v>
      </c>
      <c r="H1891" t="s">
        <v>56</v>
      </c>
      <c r="K1891" t="s">
        <v>25</v>
      </c>
      <c r="L1891" t="s">
        <v>26</v>
      </c>
      <c r="M1891" t="b">
        <v>1</v>
      </c>
      <c r="N1891" t="s">
        <v>2673</v>
      </c>
      <c r="Q1891" t="b">
        <v>0</v>
      </c>
      <c r="S1891" t="str">
        <f>"9780310361497"</f>
        <v>9780310361497</v>
      </c>
      <c r="T1891" t="str">
        <f>"9780310361503"</f>
        <v>9780310361503</v>
      </c>
      <c r="U1891" t="b">
        <v>0</v>
      </c>
      <c r="W1891" t="b">
        <v>0</v>
      </c>
    </row>
    <row r="1892" spans="1:23" x14ac:dyDescent="0.3">
      <c r="A1892">
        <v>2980918</v>
      </c>
      <c r="B1892">
        <v>34.47</v>
      </c>
      <c r="C1892" t="s">
        <v>4256</v>
      </c>
      <c r="D1892" t="s">
        <v>2723</v>
      </c>
      <c r="E1892" t="s">
        <v>23</v>
      </c>
      <c r="F1892" t="s">
        <v>44</v>
      </c>
      <c r="G1892">
        <v>2020</v>
      </c>
      <c r="H1892" t="s">
        <v>772</v>
      </c>
      <c r="K1892" t="s">
        <v>25</v>
      </c>
      <c r="L1892" t="s">
        <v>26</v>
      </c>
      <c r="M1892" t="b">
        <v>1</v>
      </c>
      <c r="N1892" t="s">
        <v>776</v>
      </c>
      <c r="Q1892" t="b">
        <v>1</v>
      </c>
      <c r="S1892" t="str">
        <f>"9780310360186"</f>
        <v>9780310360186</v>
      </c>
      <c r="T1892" t="str">
        <f>"9780310360216"</f>
        <v>9780310360216</v>
      </c>
      <c r="U1892" t="b">
        <v>0</v>
      </c>
      <c r="W1892" t="b">
        <v>0</v>
      </c>
    </row>
    <row r="1893" spans="1:23" x14ac:dyDescent="0.3">
      <c r="A1893">
        <v>2980812</v>
      </c>
      <c r="B1893">
        <v>182.82</v>
      </c>
      <c r="C1893" t="s">
        <v>4261</v>
      </c>
      <c r="D1893" t="s">
        <v>4262</v>
      </c>
      <c r="E1893" t="s">
        <v>23</v>
      </c>
      <c r="F1893" t="s">
        <v>106</v>
      </c>
      <c r="G1893">
        <v>2020</v>
      </c>
      <c r="H1893" t="s">
        <v>1143</v>
      </c>
      <c r="K1893" t="s">
        <v>25</v>
      </c>
      <c r="L1893" t="s">
        <v>26</v>
      </c>
      <c r="M1893" t="b">
        <v>1</v>
      </c>
      <c r="N1893" t="s">
        <v>2340</v>
      </c>
      <c r="P1893" t="s">
        <v>3452</v>
      </c>
      <c r="Q1893" t="b">
        <v>0</v>
      </c>
      <c r="S1893" t="str">
        <f>"9780310098645"</f>
        <v>9780310098645</v>
      </c>
      <c r="T1893" t="str">
        <f>"9780310098652"</f>
        <v>9780310098652</v>
      </c>
      <c r="U1893" t="b">
        <v>0</v>
      </c>
      <c r="W1893" t="b">
        <v>0</v>
      </c>
    </row>
    <row r="1894" spans="1:23" x14ac:dyDescent="0.3">
      <c r="A1894">
        <v>2980811</v>
      </c>
      <c r="B1894">
        <v>155.22</v>
      </c>
      <c r="C1894" t="s">
        <v>4263</v>
      </c>
      <c r="D1894" t="s">
        <v>4264</v>
      </c>
      <c r="E1894" t="s">
        <v>23</v>
      </c>
      <c r="F1894" t="s">
        <v>106</v>
      </c>
      <c r="G1894">
        <v>2020</v>
      </c>
      <c r="H1894" t="s">
        <v>1143</v>
      </c>
      <c r="K1894" t="s">
        <v>25</v>
      </c>
      <c r="L1894" t="s">
        <v>26</v>
      </c>
      <c r="M1894" t="b">
        <v>1</v>
      </c>
      <c r="N1894" t="s">
        <v>2340</v>
      </c>
      <c r="P1894" t="s">
        <v>3452</v>
      </c>
      <c r="Q1894" t="b">
        <v>0</v>
      </c>
      <c r="S1894" t="str">
        <f>"9780310098683"</f>
        <v>9780310098683</v>
      </c>
      <c r="T1894" t="str">
        <f>"9780310098690"</f>
        <v>9780310098690</v>
      </c>
      <c r="U1894" t="b">
        <v>0</v>
      </c>
      <c r="W1894" t="b">
        <v>0</v>
      </c>
    </row>
    <row r="1895" spans="1:23" x14ac:dyDescent="0.3">
      <c r="A1895">
        <v>2980792</v>
      </c>
      <c r="B1895">
        <v>34.47</v>
      </c>
      <c r="C1895" t="s">
        <v>4265</v>
      </c>
      <c r="D1895" t="s">
        <v>4266</v>
      </c>
      <c r="E1895" t="s">
        <v>23</v>
      </c>
      <c r="F1895" t="s">
        <v>4267</v>
      </c>
      <c r="G1895">
        <v>2011</v>
      </c>
      <c r="H1895" t="s">
        <v>1848</v>
      </c>
      <c r="K1895" t="s">
        <v>25</v>
      </c>
      <c r="L1895" t="s">
        <v>30</v>
      </c>
      <c r="M1895" t="b">
        <v>1</v>
      </c>
      <c r="N1895" t="s">
        <v>1475</v>
      </c>
      <c r="Q1895" t="b">
        <v>0</v>
      </c>
      <c r="S1895" t="str">
        <f>"9780310669265"</f>
        <v>9780310669265</v>
      </c>
      <c r="T1895" t="str">
        <f>"9780310398622"</f>
        <v>9780310398622</v>
      </c>
      <c r="U1895" t="b">
        <v>0</v>
      </c>
      <c r="W1895" t="b">
        <v>0</v>
      </c>
    </row>
    <row r="1896" spans="1:23" x14ac:dyDescent="0.3">
      <c r="A1896">
        <v>2980791</v>
      </c>
      <c r="B1896">
        <v>27.57</v>
      </c>
      <c r="C1896" t="s">
        <v>4268</v>
      </c>
      <c r="E1896" t="s">
        <v>23</v>
      </c>
      <c r="F1896" t="s">
        <v>44</v>
      </c>
      <c r="G1896">
        <v>2011</v>
      </c>
      <c r="H1896" t="s">
        <v>728</v>
      </c>
      <c r="K1896" t="s">
        <v>25</v>
      </c>
      <c r="L1896" t="s">
        <v>30</v>
      </c>
      <c r="M1896" t="b">
        <v>1</v>
      </c>
      <c r="N1896" t="s">
        <v>962</v>
      </c>
      <c r="P1896" t="s">
        <v>4269</v>
      </c>
      <c r="Q1896" t="b">
        <v>1</v>
      </c>
      <c r="S1896" t="str">
        <f>"9780785217053"</f>
        <v>9780785217053</v>
      </c>
      <c r="T1896" t="str">
        <f>"9780310415855"</f>
        <v>9780310415855</v>
      </c>
      <c r="U1896" t="b">
        <v>0</v>
      </c>
      <c r="W1896" t="b">
        <v>0</v>
      </c>
    </row>
    <row r="1897" spans="1:23" x14ac:dyDescent="0.3">
      <c r="A1897">
        <v>2980790</v>
      </c>
      <c r="B1897">
        <v>34.47</v>
      </c>
      <c r="C1897" t="s">
        <v>4270</v>
      </c>
      <c r="E1897" t="s">
        <v>23</v>
      </c>
      <c r="F1897" t="s">
        <v>44</v>
      </c>
      <c r="G1897">
        <v>2012</v>
      </c>
      <c r="H1897" t="s">
        <v>3824</v>
      </c>
      <c r="K1897" t="s">
        <v>25</v>
      </c>
      <c r="L1897" t="s">
        <v>30</v>
      </c>
      <c r="M1897" t="b">
        <v>1</v>
      </c>
      <c r="N1897" t="s">
        <v>3825</v>
      </c>
      <c r="P1897" t="s">
        <v>3826</v>
      </c>
      <c r="Q1897" t="b">
        <v>0</v>
      </c>
      <c r="S1897" t="str">
        <f>"9780310718390"</f>
        <v>9780310718390</v>
      </c>
      <c r="T1897" t="str">
        <f>"9780310404835"</f>
        <v>9780310404835</v>
      </c>
      <c r="U1897" t="b">
        <v>0</v>
      </c>
      <c r="W1897" t="b">
        <v>0</v>
      </c>
    </row>
    <row r="1898" spans="1:23" x14ac:dyDescent="0.3">
      <c r="A1898">
        <v>2980789</v>
      </c>
      <c r="B1898">
        <v>55.17</v>
      </c>
      <c r="C1898" t="s">
        <v>4271</v>
      </c>
      <c r="E1898" t="s">
        <v>23</v>
      </c>
      <c r="F1898" t="s">
        <v>44</v>
      </c>
      <c r="G1898">
        <v>2010</v>
      </c>
      <c r="H1898" t="s">
        <v>66</v>
      </c>
      <c r="K1898" t="s">
        <v>25</v>
      </c>
      <c r="L1898" t="s">
        <v>30</v>
      </c>
      <c r="M1898" t="b">
        <v>1</v>
      </c>
      <c r="N1898" t="s">
        <v>77</v>
      </c>
      <c r="P1898" t="s">
        <v>3886</v>
      </c>
      <c r="Q1898" t="b">
        <v>1</v>
      </c>
      <c r="S1898" t="str">
        <f>"9780310200185"</f>
        <v>9780310200185</v>
      </c>
      <c r="T1898" t="str">
        <f>"9780310859826"</f>
        <v>9780310859826</v>
      </c>
      <c r="U1898" t="b">
        <v>0</v>
      </c>
      <c r="W1898" t="b">
        <v>0</v>
      </c>
    </row>
    <row r="1899" spans="1:23" x14ac:dyDescent="0.3">
      <c r="A1899">
        <v>2980788</v>
      </c>
      <c r="B1899">
        <v>58.62</v>
      </c>
      <c r="C1899" t="s">
        <v>4272</v>
      </c>
      <c r="D1899" t="s">
        <v>4273</v>
      </c>
      <c r="E1899" t="s">
        <v>23</v>
      </c>
      <c r="F1899" t="s">
        <v>44</v>
      </c>
      <c r="G1899">
        <v>2021</v>
      </c>
      <c r="H1899" t="s">
        <v>69</v>
      </c>
      <c r="K1899" t="s">
        <v>25</v>
      </c>
      <c r="L1899" t="s">
        <v>26</v>
      </c>
      <c r="M1899" t="b">
        <v>1</v>
      </c>
      <c r="N1899" t="s">
        <v>3544</v>
      </c>
      <c r="Q1899" t="b">
        <v>0</v>
      </c>
      <c r="S1899" t="str">
        <f>"9780310096467"</f>
        <v>9780310096467</v>
      </c>
      <c r="T1899" t="str">
        <f>"9780310451983"</f>
        <v>9780310451983</v>
      </c>
      <c r="U1899" t="b">
        <v>0</v>
      </c>
      <c r="W1899" t="b">
        <v>0</v>
      </c>
    </row>
    <row r="1900" spans="1:23" x14ac:dyDescent="0.3">
      <c r="A1900">
        <v>2980787</v>
      </c>
      <c r="B1900">
        <v>65.52</v>
      </c>
      <c r="C1900" t="s">
        <v>4274</v>
      </c>
      <c r="D1900" t="s">
        <v>4275</v>
      </c>
      <c r="E1900" t="s">
        <v>23</v>
      </c>
      <c r="F1900" t="s">
        <v>44</v>
      </c>
      <c r="G1900">
        <v>2021</v>
      </c>
      <c r="H1900" t="s">
        <v>99</v>
      </c>
      <c r="K1900" t="s">
        <v>25</v>
      </c>
      <c r="L1900" t="s">
        <v>26</v>
      </c>
      <c r="M1900" t="b">
        <v>1</v>
      </c>
      <c r="N1900" t="s">
        <v>4276</v>
      </c>
      <c r="Q1900" t="b">
        <v>0</v>
      </c>
      <c r="S1900" t="str">
        <f>"9780310361039"</f>
        <v>9780310361039</v>
      </c>
      <c r="T1900" t="str">
        <f>"9780310361046"</f>
        <v>9780310361046</v>
      </c>
      <c r="U1900" t="b">
        <v>0</v>
      </c>
      <c r="W1900" t="b">
        <v>0</v>
      </c>
    </row>
    <row r="1901" spans="1:23" x14ac:dyDescent="0.3">
      <c r="A1901">
        <v>2980786</v>
      </c>
      <c r="B1901">
        <v>51.72</v>
      </c>
      <c r="C1901" t="s">
        <v>4277</v>
      </c>
      <c r="D1901" t="s">
        <v>4278</v>
      </c>
      <c r="E1901" t="s">
        <v>23</v>
      </c>
      <c r="F1901" t="s">
        <v>44</v>
      </c>
      <c r="G1901">
        <v>2009</v>
      </c>
      <c r="H1901" t="s">
        <v>132</v>
      </c>
      <c r="K1901" t="s">
        <v>25</v>
      </c>
      <c r="L1901" t="s">
        <v>30</v>
      </c>
      <c r="M1901" t="b">
        <v>1</v>
      </c>
      <c r="N1901" t="s">
        <v>4279</v>
      </c>
      <c r="Q1901" t="b">
        <v>0</v>
      </c>
      <c r="S1901" t="str">
        <f>"9780310242871"</f>
        <v>9780310242871</v>
      </c>
      <c r="T1901" t="str">
        <f>"9780310861881"</f>
        <v>9780310861881</v>
      </c>
      <c r="U1901" t="b">
        <v>0</v>
      </c>
      <c r="W1901" t="b">
        <v>0</v>
      </c>
    </row>
    <row r="1902" spans="1:23" x14ac:dyDescent="0.3">
      <c r="A1902">
        <v>2980785</v>
      </c>
      <c r="B1902">
        <v>34.47</v>
      </c>
      <c r="C1902" t="s">
        <v>4280</v>
      </c>
      <c r="E1902" t="s">
        <v>23</v>
      </c>
      <c r="F1902" t="s">
        <v>44</v>
      </c>
      <c r="G1902">
        <v>2020</v>
      </c>
      <c r="H1902" t="s">
        <v>772</v>
      </c>
      <c r="K1902" t="s">
        <v>25</v>
      </c>
      <c r="L1902" t="s">
        <v>26</v>
      </c>
      <c r="M1902" t="b">
        <v>1</v>
      </c>
      <c r="N1902" t="s">
        <v>742</v>
      </c>
      <c r="P1902" t="s">
        <v>4281</v>
      </c>
      <c r="Q1902" t="b">
        <v>1</v>
      </c>
      <c r="S1902" t="str">
        <f>"9780310355168"</f>
        <v>9780310355168</v>
      </c>
      <c r="T1902" t="str">
        <f>"9780310355175"</f>
        <v>9780310355175</v>
      </c>
      <c r="U1902" t="b">
        <v>0</v>
      </c>
      <c r="W1902" t="b">
        <v>0</v>
      </c>
    </row>
    <row r="1903" spans="1:23" x14ac:dyDescent="0.3">
      <c r="A1903">
        <v>2980784</v>
      </c>
      <c r="B1903">
        <v>58.62</v>
      </c>
      <c r="C1903" t="s">
        <v>4282</v>
      </c>
      <c r="D1903" t="s">
        <v>4283</v>
      </c>
      <c r="E1903" t="s">
        <v>23</v>
      </c>
      <c r="F1903" t="s">
        <v>44</v>
      </c>
      <c r="G1903">
        <v>2016</v>
      </c>
      <c r="H1903" t="s">
        <v>132</v>
      </c>
      <c r="K1903" t="s">
        <v>25</v>
      </c>
      <c r="L1903" t="s">
        <v>26</v>
      </c>
      <c r="M1903" t="b">
        <v>1</v>
      </c>
      <c r="N1903" t="s">
        <v>4284</v>
      </c>
      <c r="Q1903" t="b">
        <v>0</v>
      </c>
      <c r="S1903" t="str">
        <f>"9780310346777"</f>
        <v>9780310346777</v>
      </c>
      <c r="T1903" t="str">
        <f>"9780310346784"</f>
        <v>9780310346784</v>
      </c>
      <c r="U1903" t="b">
        <v>0</v>
      </c>
      <c r="W1903" t="b">
        <v>0</v>
      </c>
    </row>
    <row r="1904" spans="1:23" x14ac:dyDescent="0.3">
      <c r="A1904">
        <v>2980783</v>
      </c>
      <c r="B1904">
        <v>65.52</v>
      </c>
      <c r="C1904" t="s">
        <v>4285</v>
      </c>
      <c r="D1904" t="s">
        <v>4286</v>
      </c>
      <c r="E1904" t="s">
        <v>23</v>
      </c>
      <c r="F1904" t="s">
        <v>44</v>
      </c>
      <c r="G1904">
        <v>2016</v>
      </c>
      <c r="H1904" t="s">
        <v>58</v>
      </c>
      <c r="K1904" t="s">
        <v>25</v>
      </c>
      <c r="L1904" t="s">
        <v>26</v>
      </c>
      <c r="M1904" t="b">
        <v>1</v>
      </c>
      <c r="N1904" t="s">
        <v>4287</v>
      </c>
      <c r="Q1904" t="b">
        <v>0</v>
      </c>
      <c r="S1904" t="str">
        <f>"9780310343530"</f>
        <v>9780310343530</v>
      </c>
      <c r="T1904" t="str">
        <f>"9780310343547"</f>
        <v>9780310343547</v>
      </c>
      <c r="U1904" t="b">
        <v>0</v>
      </c>
      <c r="W1904" t="b">
        <v>0</v>
      </c>
    </row>
    <row r="1905" spans="1:23" x14ac:dyDescent="0.3">
      <c r="A1905">
        <v>2980782</v>
      </c>
      <c r="B1905">
        <v>42.61</v>
      </c>
      <c r="C1905" t="s">
        <v>4288</v>
      </c>
      <c r="E1905" t="s">
        <v>23</v>
      </c>
      <c r="F1905" t="s">
        <v>44</v>
      </c>
      <c r="G1905">
        <v>2009</v>
      </c>
      <c r="H1905" t="s">
        <v>712</v>
      </c>
      <c r="K1905" t="s">
        <v>25</v>
      </c>
      <c r="L1905" t="s">
        <v>30</v>
      </c>
      <c r="M1905" t="b">
        <v>1</v>
      </c>
      <c r="N1905" t="s">
        <v>4289</v>
      </c>
      <c r="Q1905" t="b">
        <v>1</v>
      </c>
      <c r="T1905" t="str">
        <f>"9780310863380"</f>
        <v>9780310863380</v>
      </c>
      <c r="U1905" t="b">
        <v>0</v>
      </c>
      <c r="W1905" t="b">
        <v>0</v>
      </c>
    </row>
    <row r="1906" spans="1:23" x14ac:dyDescent="0.3">
      <c r="A1906">
        <v>2980781</v>
      </c>
      <c r="B1906">
        <v>86.22</v>
      </c>
      <c r="C1906" t="s">
        <v>4290</v>
      </c>
      <c r="D1906" t="s">
        <v>4291</v>
      </c>
      <c r="E1906" t="s">
        <v>23</v>
      </c>
      <c r="F1906" t="s">
        <v>44</v>
      </c>
      <c r="G1906">
        <v>2016</v>
      </c>
      <c r="H1906" t="s">
        <v>62</v>
      </c>
      <c r="K1906" t="s">
        <v>25</v>
      </c>
      <c r="L1906" t="s">
        <v>26</v>
      </c>
      <c r="M1906" t="b">
        <v>1</v>
      </c>
      <c r="N1906" t="s">
        <v>4292</v>
      </c>
      <c r="Q1906" t="b">
        <v>0</v>
      </c>
      <c r="S1906" t="str">
        <f>"9780310344865"</f>
        <v>9780310344865</v>
      </c>
      <c r="T1906" t="str">
        <f>"9780310344872"</f>
        <v>9780310344872</v>
      </c>
      <c r="U1906" t="b">
        <v>0</v>
      </c>
      <c r="W1906" t="b">
        <v>0</v>
      </c>
    </row>
    <row r="1907" spans="1:23" x14ac:dyDescent="0.3">
      <c r="A1907">
        <v>2980780</v>
      </c>
      <c r="B1907">
        <v>63.93</v>
      </c>
      <c r="C1907" t="s">
        <v>4293</v>
      </c>
      <c r="D1907" t="s">
        <v>4294</v>
      </c>
      <c r="E1907" t="s">
        <v>23</v>
      </c>
      <c r="F1907" t="s">
        <v>44</v>
      </c>
      <c r="G1907">
        <v>2015</v>
      </c>
      <c r="H1907" t="s">
        <v>737</v>
      </c>
      <c r="K1907" t="s">
        <v>25</v>
      </c>
      <c r="L1907" t="s">
        <v>30</v>
      </c>
      <c r="M1907" t="b">
        <v>1</v>
      </c>
      <c r="N1907" t="s">
        <v>4295</v>
      </c>
      <c r="Q1907" t="b">
        <v>0</v>
      </c>
      <c r="S1907" t="str">
        <f>"9780310340782"</f>
        <v>9780310340782</v>
      </c>
      <c r="T1907" t="str">
        <f>"9780310340799"</f>
        <v>9780310340799</v>
      </c>
      <c r="U1907" t="b">
        <v>0</v>
      </c>
      <c r="W1907" t="b">
        <v>0</v>
      </c>
    </row>
    <row r="1908" spans="1:23" x14ac:dyDescent="0.3">
      <c r="A1908">
        <v>2980779</v>
      </c>
      <c r="B1908">
        <v>79.319999999999993</v>
      </c>
      <c r="C1908" t="s">
        <v>4296</v>
      </c>
      <c r="D1908" t="s">
        <v>2839</v>
      </c>
      <c r="E1908" t="s">
        <v>23</v>
      </c>
      <c r="F1908" t="s">
        <v>44</v>
      </c>
      <c r="G1908">
        <v>2021</v>
      </c>
      <c r="H1908" t="s">
        <v>865</v>
      </c>
      <c r="I1908" t="s">
        <v>4297</v>
      </c>
      <c r="J1908" t="s">
        <v>4298</v>
      </c>
      <c r="K1908" t="s">
        <v>25</v>
      </c>
      <c r="L1908" t="s">
        <v>26</v>
      </c>
      <c r="M1908" t="b">
        <v>1</v>
      </c>
      <c r="N1908" t="s">
        <v>2840</v>
      </c>
      <c r="O1908" t="str">
        <f>"235/.4"</f>
        <v>235/.4</v>
      </c>
      <c r="Q1908" t="b">
        <v>0</v>
      </c>
      <c r="S1908" t="str">
        <f>"9780310120841"</f>
        <v>9780310120841</v>
      </c>
      <c r="T1908" t="str">
        <f>"9780310120858"</f>
        <v>9780310120858</v>
      </c>
      <c r="U1908" t="b">
        <v>0</v>
      </c>
      <c r="W1908" t="b">
        <v>0</v>
      </c>
    </row>
    <row r="1909" spans="1:23" x14ac:dyDescent="0.3">
      <c r="A1909">
        <v>2980778</v>
      </c>
      <c r="B1909">
        <v>58.62</v>
      </c>
      <c r="C1909" t="s">
        <v>4299</v>
      </c>
      <c r="D1909" t="s">
        <v>4300</v>
      </c>
      <c r="E1909" t="s">
        <v>23</v>
      </c>
      <c r="F1909" t="s">
        <v>44</v>
      </c>
      <c r="G1909">
        <v>2021</v>
      </c>
      <c r="H1909" t="s">
        <v>756</v>
      </c>
      <c r="I1909" t="s">
        <v>4301</v>
      </c>
      <c r="J1909" t="s">
        <v>4302</v>
      </c>
      <c r="K1909" t="s">
        <v>25</v>
      </c>
      <c r="L1909" t="s">
        <v>26</v>
      </c>
      <c r="M1909" t="b">
        <v>1</v>
      </c>
      <c r="N1909" t="s">
        <v>4303</v>
      </c>
      <c r="O1909" t="str">
        <f>"269.2"</f>
        <v>269.2</v>
      </c>
      <c r="Q1909" t="b">
        <v>0</v>
      </c>
      <c r="S1909" t="str">
        <f>"9780310114697"</f>
        <v>9780310114697</v>
      </c>
      <c r="T1909" t="str">
        <f>"9780310114703"</f>
        <v>9780310114703</v>
      </c>
      <c r="U1909" t="b">
        <v>0</v>
      </c>
      <c r="W1909" t="b">
        <v>0</v>
      </c>
    </row>
    <row r="1910" spans="1:23" x14ac:dyDescent="0.3">
      <c r="A1910">
        <v>2980777</v>
      </c>
      <c r="B1910">
        <v>37.92</v>
      </c>
      <c r="C1910" t="s">
        <v>4304</v>
      </c>
      <c r="D1910" t="s">
        <v>4305</v>
      </c>
      <c r="E1910" t="s">
        <v>23</v>
      </c>
      <c r="F1910" t="s">
        <v>44</v>
      </c>
      <c r="G1910">
        <v>2009</v>
      </c>
      <c r="H1910" t="s">
        <v>912</v>
      </c>
      <c r="K1910" t="s">
        <v>25</v>
      </c>
      <c r="L1910" t="s">
        <v>30</v>
      </c>
      <c r="M1910" t="b">
        <v>1</v>
      </c>
      <c r="N1910" t="s">
        <v>860</v>
      </c>
      <c r="Q1910" t="b">
        <v>0</v>
      </c>
      <c r="S1910" t="str">
        <f>"9780310532217"</f>
        <v>9780310532217</v>
      </c>
      <c r="T1910" t="str">
        <f>"9780310861201"</f>
        <v>9780310861201</v>
      </c>
      <c r="U1910" t="b">
        <v>0</v>
      </c>
      <c r="W1910" t="b">
        <v>0</v>
      </c>
    </row>
    <row r="1911" spans="1:23" x14ac:dyDescent="0.3">
      <c r="A1911">
        <v>2980776</v>
      </c>
      <c r="B1911">
        <v>51.72</v>
      </c>
      <c r="C1911" t="s">
        <v>4306</v>
      </c>
      <c r="E1911" t="s">
        <v>23</v>
      </c>
      <c r="F1911" t="s">
        <v>44</v>
      </c>
      <c r="G1911">
        <v>2011</v>
      </c>
      <c r="H1911" t="s">
        <v>74</v>
      </c>
      <c r="K1911" t="s">
        <v>25</v>
      </c>
      <c r="L1911" t="s">
        <v>30</v>
      </c>
      <c r="M1911" t="b">
        <v>1</v>
      </c>
      <c r="N1911" t="s">
        <v>3252</v>
      </c>
      <c r="P1911" t="s">
        <v>3253</v>
      </c>
      <c r="Q1911" t="b">
        <v>1</v>
      </c>
      <c r="S1911" t="str">
        <f>"9780310331834"</f>
        <v>9780310331834</v>
      </c>
      <c r="T1911" t="str">
        <f>"9780310331841"</f>
        <v>9780310331841</v>
      </c>
      <c r="U1911" t="b">
        <v>0</v>
      </c>
      <c r="W1911" t="b">
        <v>0</v>
      </c>
    </row>
    <row r="1912" spans="1:23" x14ac:dyDescent="0.3">
      <c r="A1912">
        <v>2980775</v>
      </c>
      <c r="B1912">
        <v>58.62</v>
      </c>
      <c r="C1912" t="s">
        <v>4307</v>
      </c>
      <c r="E1912" t="s">
        <v>23</v>
      </c>
      <c r="F1912" t="s">
        <v>44</v>
      </c>
      <c r="G1912">
        <v>2009</v>
      </c>
      <c r="H1912" t="s">
        <v>728</v>
      </c>
      <c r="K1912" t="s">
        <v>25</v>
      </c>
      <c r="L1912" t="s">
        <v>30</v>
      </c>
      <c r="M1912" t="b">
        <v>1</v>
      </c>
      <c r="N1912" t="s">
        <v>3066</v>
      </c>
      <c r="P1912" t="s">
        <v>3067</v>
      </c>
      <c r="Q1912" t="b">
        <v>1</v>
      </c>
      <c r="S1912" t="str">
        <f>"9780310201670"</f>
        <v>9780310201670</v>
      </c>
      <c r="T1912" t="str">
        <f>"9780310866640"</f>
        <v>9780310866640</v>
      </c>
      <c r="U1912" t="b">
        <v>0</v>
      </c>
      <c r="V1912" t="s">
        <v>4308</v>
      </c>
      <c r="W1912" t="b">
        <v>0</v>
      </c>
    </row>
    <row r="1913" spans="1:23" x14ac:dyDescent="0.3">
      <c r="A1913">
        <v>2980774</v>
      </c>
      <c r="B1913">
        <v>51.72</v>
      </c>
      <c r="C1913" t="s">
        <v>4309</v>
      </c>
      <c r="D1913" t="s">
        <v>4310</v>
      </c>
      <c r="E1913" t="s">
        <v>23</v>
      </c>
      <c r="F1913" t="s">
        <v>44</v>
      </c>
      <c r="G1913">
        <v>2010</v>
      </c>
      <c r="H1913" t="s">
        <v>69</v>
      </c>
      <c r="K1913" t="s">
        <v>25</v>
      </c>
      <c r="L1913" t="s">
        <v>30</v>
      </c>
      <c r="M1913" t="b">
        <v>1</v>
      </c>
      <c r="N1913" t="s">
        <v>2666</v>
      </c>
      <c r="Q1913" t="b">
        <v>0</v>
      </c>
      <c r="S1913" t="str">
        <f>"9780310207542"</f>
        <v>9780310207542</v>
      </c>
      <c r="T1913" t="str">
        <f>"9780310873594"</f>
        <v>9780310873594</v>
      </c>
      <c r="U1913" t="b">
        <v>0</v>
      </c>
      <c r="W1913" t="b">
        <v>0</v>
      </c>
    </row>
    <row r="1914" spans="1:23" x14ac:dyDescent="0.3">
      <c r="A1914">
        <v>2980773</v>
      </c>
      <c r="B1914">
        <v>58.62</v>
      </c>
      <c r="C1914" t="s">
        <v>4311</v>
      </c>
      <c r="D1914" t="s">
        <v>4312</v>
      </c>
      <c r="E1914" t="s">
        <v>23</v>
      </c>
      <c r="F1914" t="s">
        <v>44</v>
      </c>
      <c r="G1914">
        <v>2011</v>
      </c>
      <c r="H1914" t="s">
        <v>58</v>
      </c>
      <c r="K1914" t="s">
        <v>25</v>
      </c>
      <c r="L1914" t="s">
        <v>30</v>
      </c>
      <c r="M1914" t="b">
        <v>1</v>
      </c>
      <c r="N1914" t="s">
        <v>4313</v>
      </c>
      <c r="Q1914" t="b">
        <v>0</v>
      </c>
      <c r="S1914" t="str">
        <f>"9780310328186"</f>
        <v>9780310328186</v>
      </c>
      <c r="T1914" t="str">
        <f>"9780310598893"</f>
        <v>9780310598893</v>
      </c>
      <c r="U1914" t="b">
        <v>0</v>
      </c>
      <c r="W1914" t="b">
        <v>0</v>
      </c>
    </row>
    <row r="1915" spans="1:23" x14ac:dyDescent="0.3">
      <c r="A1915">
        <v>2980772</v>
      </c>
      <c r="B1915">
        <v>28.39</v>
      </c>
      <c r="C1915" t="s">
        <v>4314</v>
      </c>
      <c r="E1915" t="s">
        <v>23</v>
      </c>
      <c r="F1915" t="s">
        <v>44</v>
      </c>
      <c r="G1915">
        <v>2009</v>
      </c>
      <c r="H1915" t="s">
        <v>714</v>
      </c>
      <c r="K1915" t="s">
        <v>25</v>
      </c>
      <c r="L1915" t="s">
        <v>30</v>
      </c>
      <c r="M1915" t="b">
        <v>1</v>
      </c>
      <c r="N1915" t="s">
        <v>408</v>
      </c>
      <c r="P1915" t="s">
        <v>3599</v>
      </c>
      <c r="Q1915" t="b">
        <v>1</v>
      </c>
      <c r="S1915" t="str">
        <f>"9780310714903"</f>
        <v>9780310714903</v>
      </c>
      <c r="T1915" t="str">
        <f>"9780310853527"</f>
        <v>9780310853527</v>
      </c>
      <c r="U1915" t="b">
        <v>0</v>
      </c>
      <c r="W1915" t="b">
        <v>0</v>
      </c>
    </row>
    <row r="1916" spans="1:23" x14ac:dyDescent="0.3">
      <c r="A1916">
        <v>2980771</v>
      </c>
      <c r="B1916">
        <v>39.049999999999997</v>
      </c>
      <c r="C1916" t="s">
        <v>4315</v>
      </c>
      <c r="E1916" t="s">
        <v>23</v>
      </c>
      <c r="F1916" t="s">
        <v>44</v>
      </c>
      <c r="G1916">
        <v>2009</v>
      </c>
      <c r="H1916" t="s">
        <v>62</v>
      </c>
      <c r="K1916" t="s">
        <v>25</v>
      </c>
      <c r="L1916" t="s">
        <v>30</v>
      </c>
      <c r="M1916" t="b">
        <v>1</v>
      </c>
      <c r="N1916" t="s">
        <v>3989</v>
      </c>
      <c r="Q1916" t="b">
        <v>0</v>
      </c>
      <c r="T1916" t="str">
        <f>"9780310862864"</f>
        <v>9780310862864</v>
      </c>
      <c r="U1916" t="b">
        <v>0</v>
      </c>
      <c r="W1916" t="b">
        <v>0</v>
      </c>
    </row>
    <row r="1917" spans="1:23" x14ac:dyDescent="0.3">
      <c r="A1917">
        <v>2980770</v>
      </c>
      <c r="B1917">
        <v>55.17</v>
      </c>
      <c r="C1917" t="s">
        <v>4316</v>
      </c>
      <c r="E1917" t="s">
        <v>23</v>
      </c>
      <c r="F1917" t="s">
        <v>44</v>
      </c>
      <c r="G1917">
        <v>2010</v>
      </c>
      <c r="H1917" t="s">
        <v>66</v>
      </c>
      <c r="K1917" t="s">
        <v>25</v>
      </c>
      <c r="L1917" t="s">
        <v>30</v>
      </c>
      <c r="M1917" t="b">
        <v>1</v>
      </c>
      <c r="N1917" t="s">
        <v>77</v>
      </c>
      <c r="P1917" t="s">
        <v>3335</v>
      </c>
      <c r="Q1917" t="b">
        <v>1</v>
      </c>
      <c r="S1917" t="str">
        <f>"9780310207108"</f>
        <v>9780310207108</v>
      </c>
      <c r="T1917" t="str">
        <f>"9780310861195"</f>
        <v>9780310861195</v>
      </c>
      <c r="U1917" t="b">
        <v>0</v>
      </c>
      <c r="W1917" t="b">
        <v>0</v>
      </c>
    </row>
    <row r="1918" spans="1:23" x14ac:dyDescent="0.3">
      <c r="A1918">
        <v>2980769</v>
      </c>
      <c r="B1918">
        <v>137.97</v>
      </c>
      <c r="C1918" t="s">
        <v>4317</v>
      </c>
      <c r="D1918" t="s">
        <v>4318</v>
      </c>
      <c r="E1918" t="s">
        <v>23</v>
      </c>
      <c r="F1918" t="s">
        <v>44</v>
      </c>
      <c r="G1918">
        <v>2020</v>
      </c>
      <c r="H1918" t="s">
        <v>2619</v>
      </c>
      <c r="K1918" t="s">
        <v>25</v>
      </c>
      <c r="L1918" t="s">
        <v>26</v>
      </c>
      <c r="M1918" t="b">
        <v>1</v>
      </c>
      <c r="N1918" t="s">
        <v>44</v>
      </c>
      <c r="Q1918" t="b">
        <v>0</v>
      </c>
      <c r="S1918" t="str">
        <f>"9780310454434"</f>
        <v>9780310454434</v>
      </c>
      <c r="T1918" t="str">
        <f>"9780310454458"</f>
        <v>9780310454458</v>
      </c>
      <c r="U1918" t="b">
        <v>0</v>
      </c>
      <c r="W1918" t="b">
        <v>0</v>
      </c>
    </row>
    <row r="1919" spans="1:23" x14ac:dyDescent="0.3">
      <c r="A1919">
        <v>2980768</v>
      </c>
      <c r="B1919">
        <v>34.47</v>
      </c>
      <c r="C1919" t="s">
        <v>4319</v>
      </c>
      <c r="E1919" t="s">
        <v>23</v>
      </c>
      <c r="F1919" t="s">
        <v>44</v>
      </c>
      <c r="G1919">
        <v>2009</v>
      </c>
      <c r="H1919" t="s">
        <v>531</v>
      </c>
      <c r="K1919" t="s">
        <v>25</v>
      </c>
      <c r="L1919" t="s">
        <v>30</v>
      </c>
      <c r="M1919" t="b">
        <v>1</v>
      </c>
      <c r="N1919" t="s">
        <v>3549</v>
      </c>
      <c r="Q1919" t="b">
        <v>0</v>
      </c>
      <c r="S1919" t="str">
        <f>"9780310258124"</f>
        <v>9780310258124</v>
      </c>
      <c r="T1919" t="str">
        <f>"9780310863670"</f>
        <v>9780310863670</v>
      </c>
      <c r="U1919" t="b">
        <v>0</v>
      </c>
      <c r="W1919" t="b">
        <v>0</v>
      </c>
    </row>
    <row r="1920" spans="1:23" x14ac:dyDescent="0.3">
      <c r="A1920">
        <v>2980767</v>
      </c>
      <c r="B1920">
        <v>35.5</v>
      </c>
      <c r="C1920" t="s">
        <v>4320</v>
      </c>
      <c r="E1920" t="s">
        <v>23</v>
      </c>
      <c r="F1920" t="s">
        <v>44</v>
      </c>
      <c r="G1920">
        <v>2014</v>
      </c>
      <c r="H1920" t="s">
        <v>1239</v>
      </c>
      <c r="K1920" t="s">
        <v>25</v>
      </c>
      <c r="L1920" t="s">
        <v>30</v>
      </c>
      <c r="M1920" t="b">
        <v>1</v>
      </c>
      <c r="N1920" t="s">
        <v>4321</v>
      </c>
      <c r="P1920" t="s">
        <v>4322</v>
      </c>
      <c r="Q1920" t="b">
        <v>0</v>
      </c>
      <c r="T1920" t="str">
        <f>"9780310735830"</f>
        <v>9780310735830</v>
      </c>
      <c r="U1920" t="b">
        <v>0</v>
      </c>
      <c r="W1920" t="b">
        <v>0</v>
      </c>
    </row>
    <row r="1921" spans="1:23" x14ac:dyDescent="0.3">
      <c r="A1921">
        <v>2980766</v>
      </c>
      <c r="B1921">
        <v>58.62</v>
      </c>
      <c r="C1921" t="s">
        <v>4323</v>
      </c>
      <c r="D1921" t="s">
        <v>4324</v>
      </c>
      <c r="E1921" t="s">
        <v>23</v>
      </c>
      <c r="F1921" t="s">
        <v>44</v>
      </c>
      <c r="G1921">
        <v>2016</v>
      </c>
      <c r="H1921" t="s">
        <v>99</v>
      </c>
      <c r="K1921" t="s">
        <v>25</v>
      </c>
      <c r="L1921" t="s">
        <v>26</v>
      </c>
      <c r="M1921" t="b">
        <v>1</v>
      </c>
      <c r="N1921" t="s">
        <v>4325</v>
      </c>
      <c r="Q1921" t="b">
        <v>0</v>
      </c>
      <c r="S1921" t="str">
        <f>"9780310346494"</f>
        <v>9780310346494</v>
      </c>
      <c r="T1921" t="str">
        <f>"9780310346500"</f>
        <v>9780310346500</v>
      </c>
      <c r="U1921" t="b">
        <v>0</v>
      </c>
      <c r="W1921" t="b">
        <v>0</v>
      </c>
    </row>
    <row r="1922" spans="1:23" x14ac:dyDescent="0.3">
      <c r="A1922">
        <v>2980765</v>
      </c>
      <c r="B1922">
        <v>51.72</v>
      </c>
      <c r="C1922" t="s">
        <v>4326</v>
      </c>
      <c r="E1922" t="s">
        <v>23</v>
      </c>
      <c r="F1922" t="s">
        <v>44</v>
      </c>
      <c r="G1922">
        <v>2016</v>
      </c>
      <c r="H1922" t="s">
        <v>132</v>
      </c>
      <c r="K1922" t="s">
        <v>25</v>
      </c>
      <c r="L1922" t="s">
        <v>26</v>
      </c>
      <c r="M1922" t="b">
        <v>1</v>
      </c>
      <c r="N1922" t="s">
        <v>4327</v>
      </c>
      <c r="P1922" t="s">
        <v>1216</v>
      </c>
      <c r="Q1922" t="b">
        <v>0</v>
      </c>
      <c r="S1922" t="str">
        <f>"9780310083535"</f>
        <v>9780310083535</v>
      </c>
      <c r="T1922" t="str">
        <f>"9780310083542"</f>
        <v>9780310083542</v>
      </c>
      <c r="U1922" t="b">
        <v>0</v>
      </c>
      <c r="W1922" t="b">
        <v>0</v>
      </c>
    </row>
    <row r="1923" spans="1:23" x14ac:dyDescent="0.3">
      <c r="A1923">
        <v>2980764</v>
      </c>
      <c r="B1923">
        <v>58.62</v>
      </c>
      <c r="C1923" t="s">
        <v>4328</v>
      </c>
      <c r="D1923" t="s">
        <v>4329</v>
      </c>
      <c r="E1923" t="s">
        <v>23</v>
      </c>
      <c r="F1923" t="s">
        <v>44</v>
      </c>
      <c r="G1923">
        <v>2013</v>
      </c>
      <c r="H1923" t="s">
        <v>1237</v>
      </c>
      <c r="K1923" t="s">
        <v>25</v>
      </c>
      <c r="L1923" t="s">
        <v>30</v>
      </c>
      <c r="M1923" t="b">
        <v>1</v>
      </c>
      <c r="N1923" t="s">
        <v>4330</v>
      </c>
      <c r="Q1923" t="b">
        <v>0</v>
      </c>
      <c r="S1923" t="str">
        <f>"9780310352051"</f>
        <v>9780310352051</v>
      </c>
      <c r="T1923" t="str">
        <f>"9780310336808"</f>
        <v>9780310336808</v>
      </c>
      <c r="U1923" t="b">
        <v>0</v>
      </c>
      <c r="W1923" t="b">
        <v>0</v>
      </c>
    </row>
    <row r="1924" spans="1:23" x14ac:dyDescent="0.3">
      <c r="A1924">
        <v>2980763</v>
      </c>
      <c r="B1924">
        <v>89.67</v>
      </c>
      <c r="C1924" t="s">
        <v>4331</v>
      </c>
      <c r="D1924" t="s">
        <v>4332</v>
      </c>
      <c r="E1924" t="s">
        <v>23</v>
      </c>
      <c r="F1924" t="s">
        <v>44</v>
      </c>
      <c r="G1924">
        <v>2021</v>
      </c>
      <c r="H1924" t="s">
        <v>850</v>
      </c>
      <c r="K1924" t="s">
        <v>25</v>
      </c>
      <c r="L1924" t="s">
        <v>26</v>
      </c>
      <c r="M1924" t="b">
        <v>1</v>
      </c>
      <c r="N1924" t="s">
        <v>4333</v>
      </c>
      <c r="Q1924" t="b">
        <v>0</v>
      </c>
      <c r="S1924" t="str">
        <f>"9780310359852"</f>
        <v>9780310359852</v>
      </c>
      <c r="T1924" t="str">
        <f>"9780310359869"</f>
        <v>9780310359869</v>
      </c>
      <c r="U1924" t="b">
        <v>0</v>
      </c>
      <c r="W1924" t="b">
        <v>0</v>
      </c>
    </row>
    <row r="1925" spans="1:23" x14ac:dyDescent="0.3">
      <c r="A1925">
        <v>2980762</v>
      </c>
      <c r="B1925">
        <v>42.61</v>
      </c>
      <c r="C1925" t="s">
        <v>4334</v>
      </c>
      <c r="D1925" t="s">
        <v>4335</v>
      </c>
      <c r="E1925" t="s">
        <v>23</v>
      </c>
      <c r="F1925" t="s">
        <v>44</v>
      </c>
      <c r="G1925">
        <v>2013</v>
      </c>
      <c r="H1925" t="s">
        <v>62</v>
      </c>
      <c r="K1925" t="s">
        <v>25</v>
      </c>
      <c r="L1925" t="s">
        <v>30</v>
      </c>
      <c r="M1925" t="b">
        <v>1</v>
      </c>
      <c r="N1925" t="s">
        <v>4336</v>
      </c>
      <c r="Q1925" t="b">
        <v>0</v>
      </c>
      <c r="T1925" t="str">
        <f>"9780310410492"</f>
        <v>9780310410492</v>
      </c>
      <c r="U1925" t="b">
        <v>0</v>
      </c>
      <c r="W1925" t="b">
        <v>0</v>
      </c>
    </row>
    <row r="1926" spans="1:23" x14ac:dyDescent="0.3">
      <c r="A1926">
        <v>2980761</v>
      </c>
      <c r="B1926">
        <v>51.72</v>
      </c>
      <c r="C1926" t="s">
        <v>4337</v>
      </c>
      <c r="E1926" t="s">
        <v>23</v>
      </c>
      <c r="F1926" t="s">
        <v>44</v>
      </c>
      <c r="G1926">
        <v>2019</v>
      </c>
      <c r="H1926" t="s">
        <v>132</v>
      </c>
      <c r="K1926" t="s">
        <v>25</v>
      </c>
      <c r="L1926" t="s">
        <v>26</v>
      </c>
      <c r="M1926" t="b">
        <v>1</v>
      </c>
      <c r="N1926" t="s">
        <v>44</v>
      </c>
      <c r="P1926" t="s">
        <v>2761</v>
      </c>
      <c r="Q1926" t="b">
        <v>0</v>
      </c>
      <c r="S1926" t="str">
        <f>"9780310452157"</f>
        <v>9780310452157</v>
      </c>
      <c r="T1926" t="str">
        <f>"9780310452188"</f>
        <v>9780310452188</v>
      </c>
      <c r="U1926" t="b">
        <v>0</v>
      </c>
      <c r="W1926" t="b">
        <v>0</v>
      </c>
    </row>
    <row r="1927" spans="1:23" x14ac:dyDescent="0.3">
      <c r="A1927">
        <v>2980760</v>
      </c>
      <c r="B1927">
        <v>68.97</v>
      </c>
      <c r="C1927" t="s">
        <v>4338</v>
      </c>
      <c r="D1927" t="s">
        <v>4339</v>
      </c>
      <c r="E1927" t="s">
        <v>23</v>
      </c>
      <c r="F1927" t="s">
        <v>44</v>
      </c>
      <c r="G1927">
        <v>2017</v>
      </c>
      <c r="H1927" t="s">
        <v>2214</v>
      </c>
      <c r="I1927" t="s">
        <v>4340</v>
      </c>
      <c r="J1927" t="s">
        <v>4341</v>
      </c>
      <c r="K1927" t="s">
        <v>25</v>
      </c>
      <c r="L1927" t="s">
        <v>26</v>
      </c>
      <c r="M1927" t="b">
        <v>1</v>
      </c>
      <c r="N1927" t="s">
        <v>4342</v>
      </c>
      <c r="O1927" t="str">
        <f>"305.896/073076147;B"</f>
        <v>305.896/073076147;B</v>
      </c>
      <c r="Q1927" t="b">
        <v>0</v>
      </c>
      <c r="S1927" t="str">
        <f>"9780310349631"</f>
        <v>9780310349631</v>
      </c>
      <c r="T1927" t="str">
        <f>"9780310349648"</f>
        <v>9780310349648</v>
      </c>
      <c r="U1927" t="b">
        <v>0</v>
      </c>
      <c r="W1927" t="b">
        <v>0</v>
      </c>
    </row>
    <row r="1928" spans="1:23" x14ac:dyDescent="0.3">
      <c r="A1928">
        <v>2980759</v>
      </c>
      <c r="B1928">
        <v>58.62</v>
      </c>
      <c r="C1928" t="s">
        <v>4343</v>
      </c>
      <c r="D1928" t="s">
        <v>4344</v>
      </c>
      <c r="E1928" t="s">
        <v>23</v>
      </c>
      <c r="F1928" t="s">
        <v>44</v>
      </c>
      <c r="G1928">
        <v>2011</v>
      </c>
      <c r="H1928" t="s">
        <v>99</v>
      </c>
      <c r="I1928" t="s">
        <v>4345</v>
      </c>
      <c r="J1928" t="s">
        <v>4346</v>
      </c>
      <c r="K1928" t="s">
        <v>25</v>
      </c>
      <c r="L1928" t="s">
        <v>30</v>
      </c>
      <c r="M1928" t="b">
        <v>1</v>
      </c>
      <c r="N1928" t="s">
        <v>2641</v>
      </c>
      <c r="O1928" t="str">
        <f>"613.7"</f>
        <v>613.7</v>
      </c>
      <c r="Q1928" t="b">
        <v>0</v>
      </c>
      <c r="S1928" t="str">
        <f>"9780310290810"</f>
        <v>9780310290810</v>
      </c>
      <c r="T1928" t="str">
        <f>"9780310412250"</f>
        <v>9780310412250</v>
      </c>
      <c r="U1928" t="b">
        <v>0</v>
      </c>
      <c r="W1928" t="b">
        <v>0</v>
      </c>
    </row>
    <row r="1929" spans="1:23" x14ac:dyDescent="0.3">
      <c r="A1929">
        <v>2980758</v>
      </c>
      <c r="B1929">
        <v>14.18</v>
      </c>
      <c r="C1929" t="s">
        <v>4347</v>
      </c>
      <c r="D1929" t="s">
        <v>2659</v>
      </c>
      <c r="E1929" t="s">
        <v>23</v>
      </c>
      <c r="F1929" t="s">
        <v>44</v>
      </c>
      <c r="G1929">
        <v>2018</v>
      </c>
      <c r="H1929" t="s">
        <v>772</v>
      </c>
      <c r="K1929" t="s">
        <v>25</v>
      </c>
      <c r="L1929" t="s">
        <v>30</v>
      </c>
      <c r="M1929" t="b">
        <v>1</v>
      </c>
      <c r="N1929" t="s">
        <v>776</v>
      </c>
      <c r="Q1929" t="b">
        <v>1</v>
      </c>
      <c r="T1929" t="str">
        <f>"9780785218326"</f>
        <v>9780785218326</v>
      </c>
      <c r="U1929" t="b">
        <v>0</v>
      </c>
      <c r="W1929" t="b">
        <v>0</v>
      </c>
    </row>
    <row r="1930" spans="1:23" x14ac:dyDescent="0.3">
      <c r="A1930">
        <v>2980757</v>
      </c>
      <c r="B1930">
        <v>44.82</v>
      </c>
      <c r="C1930" t="s">
        <v>4348</v>
      </c>
      <c r="D1930" t="s">
        <v>4349</v>
      </c>
      <c r="E1930" t="s">
        <v>23</v>
      </c>
      <c r="F1930" t="s">
        <v>44</v>
      </c>
      <c r="G1930">
        <v>2019</v>
      </c>
      <c r="H1930" t="s">
        <v>58</v>
      </c>
      <c r="K1930" t="s">
        <v>25</v>
      </c>
      <c r="L1930" t="s">
        <v>26</v>
      </c>
      <c r="M1930" t="b">
        <v>1</v>
      </c>
      <c r="N1930" t="s">
        <v>2509</v>
      </c>
      <c r="Q1930" t="b">
        <v>0</v>
      </c>
      <c r="S1930" t="str">
        <f>"9780785230663"</f>
        <v>9780785230663</v>
      </c>
      <c r="T1930" t="str">
        <f>"9780310108214"</f>
        <v>9780310108214</v>
      </c>
      <c r="U1930" t="b">
        <v>0</v>
      </c>
      <c r="W1930" t="b">
        <v>0</v>
      </c>
    </row>
    <row r="1931" spans="1:23" x14ac:dyDescent="0.3">
      <c r="A1931">
        <v>2980756</v>
      </c>
      <c r="B1931">
        <v>10.32</v>
      </c>
      <c r="C1931" t="s">
        <v>4350</v>
      </c>
      <c r="D1931" t="s">
        <v>4351</v>
      </c>
      <c r="E1931" t="s">
        <v>23</v>
      </c>
      <c r="F1931" t="s">
        <v>44</v>
      </c>
      <c r="G1931">
        <v>2014</v>
      </c>
      <c r="H1931" t="s">
        <v>3178</v>
      </c>
      <c r="K1931" t="s">
        <v>25</v>
      </c>
      <c r="L1931" t="s">
        <v>30</v>
      </c>
      <c r="M1931" t="b">
        <v>1</v>
      </c>
      <c r="N1931" t="s">
        <v>3181</v>
      </c>
      <c r="P1931" t="s">
        <v>2794</v>
      </c>
      <c r="Q1931" t="b">
        <v>0</v>
      </c>
      <c r="S1931" t="str">
        <f>"9780310341659"</f>
        <v>9780310341659</v>
      </c>
      <c r="T1931" t="str">
        <f>"9780310341673"</f>
        <v>9780310341673</v>
      </c>
      <c r="U1931" t="b">
        <v>0</v>
      </c>
      <c r="W1931" t="b">
        <v>0</v>
      </c>
    </row>
    <row r="1932" spans="1:23" x14ac:dyDescent="0.3">
      <c r="A1932">
        <v>2980755</v>
      </c>
      <c r="B1932">
        <v>89.67</v>
      </c>
      <c r="C1932" t="s">
        <v>4352</v>
      </c>
      <c r="D1932" t="s">
        <v>4353</v>
      </c>
      <c r="E1932" t="s">
        <v>23</v>
      </c>
      <c r="F1932" t="s">
        <v>44</v>
      </c>
      <c r="G1932">
        <v>2021</v>
      </c>
      <c r="H1932" t="s">
        <v>58</v>
      </c>
      <c r="I1932" t="s">
        <v>1024</v>
      </c>
      <c r="J1932" t="s">
        <v>4354</v>
      </c>
      <c r="K1932" t="s">
        <v>25</v>
      </c>
      <c r="L1932" t="s">
        <v>26</v>
      </c>
      <c r="M1932" t="b">
        <v>1</v>
      </c>
      <c r="N1932" t="s">
        <v>4355</v>
      </c>
      <c r="O1932" t="str">
        <f>"248.8/43"</f>
        <v>248.8/43</v>
      </c>
      <c r="Q1932" t="b">
        <v>0</v>
      </c>
      <c r="S1932" t="str">
        <f>"9780310360438"</f>
        <v>9780310360438</v>
      </c>
      <c r="T1932" t="str">
        <f>"9780310360445"</f>
        <v>9780310360445</v>
      </c>
      <c r="U1932" t="b">
        <v>0</v>
      </c>
      <c r="W1932" t="b">
        <v>0</v>
      </c>
    </row>
    <row r="1933" spans="1:23" x14ac:dyDescent="0.3">
      <c r="A1933">
        <v>2980754</v>
      </c>
      <c r="B1933">
        <v>7.07</v>
      </c>
      <c r="C1933" t="s">
        <v>4356</v>
      </c>
      <c r="D1933" t="s">
        <v>4357</v>
      </c>
      <c r="E1933" t="s">
        <v>23</v>
      </c>
      <c r="F1933" t="s">
        <v>44</v>
      </c>
      <c r="G1933">
        <v>2012</v>
      </c>
      <c r="H1933" t="s">
        <v>381</v>
      </c>
      <c r="K1933" t="s">
        <v>25</v>
      </c>
      <c r="L1933" t="s">
        <v>30</v>
      </c>
      <c r="M1933" t="b">
        <v>1</v>
      </c>
      <c r="N1933" t="s">
        <v>2616</v>
      </c>
      <c r="Q1933" t="b">
        <v>0</v>
      </c>
      <c r="T1933" t="str">
        <f>"9780310327097"</f>
        <v>9780310327097</v>
      </c>
      <c r="U1933" t="b">
        <v>0</v>
      </c>
      <c r="W1933" t="b">
        <v>0</v>
      </c>
    </row>
    <row r="1934" spans="1:23" x14ac:dyDescent="0.3">
      <c r="A1934">
        <v>2980753</v>
      </c>
      <c r="B1934">
        <v>124.34</v>
      </c>
      <c r="C1934" t="s">
        <v>4358</v>
      </c>
      <c r="D1934" t="s">
        <v>4359</v>
      </c>
      <c r="E1934" t="s">
        <v>23</v>
      </c>
      <c r="F1934" t="s">
        <v>44</v>
      </c>
      <c r="G1934">
        <v>2015</v>
      </c>
      <c r="H1934" t="s">
        <v>66</v>
      </c>
      <c r="K1934" t="s">
        <v>25</v>
      </c>
      <c r="L1934" t="s">
        <v>30</v>
      </c>
      <c r="M1934" t="b">
        <v>1</v>
      </c>
      <c r="N1934" t="s">
        <v>77</v>
      </c>
      <c r="P1934" t="s">
        <v>4360</v>
      </c>
      <c r="Q1934" t="b">
        <v>1</v>
      </c>
      <c r="T1934" t="str">
        <f>"9780310343950"</f>
        <v>9780310343950</v>
      </c>
      <c r="U1934" t="b">
        <v>0</v>
      </c>
      <c r="W1934" t="b">
        <v>0</v>
      </c>
    </row>
    <row r="1935" spans="1:23" x14ac:dyDescent="0.3">
      <c r="A1935">
        <v>2980752</v>
      </c>
      <c r="B1935">
        <v>42.61</v>
      </c>
      <c r="C1935" t="s">
        <v>4361</v>
      </c>
      <c r="D1935" t="s">
        <v>4362</v>
      </c>
      <c r="E1935" t="s">
        <v>23</v>
      </c>
      <c r="F1935" t="s">
        <v>44</v>
      </c>
      <c r="G1935">
        <v>2009</v>
      </c>
      <c r="H1935" t="s">
        <v>132</v>
      </c>
      <c r="K1935" t="s">
        <v>25</v>
      </c>
      <c r="L1935" t="s">
        <v>30</v>
      </c>
      <c r="M1935" t="b">
        <v>1</v>
      </c>
      <c r="N1935" t="s">
        <v>2807</v>
      </c>
      <c r="Q1935" t="b">
        <v>0</v>
      </c>
      <c r="S1935" t="str">
        <f>"9780310276142"</f>
        <v>9780310276142</v>
      </c>
      <c r="T1935" t="str">
        <f>"9780310539438"</f>
        <v>9780310539438</v>
      </c>
      <c r="U1935" t="b">
        <v>0</v>
      </c>
      <c r="W1935" t="b">
        <v>0</v>
      </c>
    </row>
    <row r="1936" spans="1:23" x14ac:dyDescent="0.3">
      <c r="A1936">
        <v>2980751</v>
      </c>
      <c r="B1936">
        <v>62.07</v>
      </c>
      <c r="C1936" t="s">
        <v>4363</v>
      </c>
      <c r="D1936" t="s">
        <v>4364</v>
      </c>
      <c r="E1936" t="s">
        <v>23</v>
      </c>
      <c r="F1936" t="s">
        <v>44</v>
      </c>
      <c r="G1936">
        <v>2017</v>
      </c>
      <c r="H1936" t="s">
        <v>58</v>
      </c>
      <c r="K1936" t="s">
        <v>25</v>
      </c>
      <c r="L1936" t="s">
        <v>26</v>
      </c>
      <c r="M1936" t="b">
        <v>1</v>
      </c>
      <c r="N1936" t="s">
        <v>4365</v>
      </c>
      <c r="Q1936" t="b">
        <v>0</v>
      </c>
      <c r="S1936" t="str">
        <f>"9780310338000"</f>
        <v>9780310338000</v>
      </c>
      <c r="T1936" t="str">
        <f>"9780310338017"</f>
        <v>9780310338017</v>
      </c>
      <c r="U1936" t="b">
        <v>0</v>
      </c>
      <c r="W1936" t="b">
        <v>0</v>
      </c>
    </row>
    <row r="1937" spans="1:23" x14ac:dyDescent="0.3">
      <c r="A1937">
        <v>2980750</v>
      </c>
      <c r="B1937">
        <v>58.62</v>
      </c>
      <c r="C1937" t="s">
        <v>4366</v>
      </c>
      <c r="D1937" t="s">
        <v>1405</v>
      </c>
      <c r="E1937" t="s">
        <v>23</v>
      </c>
      <c r="F1937" t="s">
        <v>44</v>
      </c>
      <c r="G1937">
        <v>2013</v>
      </c>
      <c r="H1937" t="s">
        <v>67</v>
      </c>
      <c r="K1937" t="s">
        <v>25</v>
      </c>
      <c r="L1937" t="s">
        <v>30</v>
      </c>
      <c r="M1937" t="b">
        <v>1</v>
      </c>
      <c r="N1937" t="s">
        <v>3818</v>
      </c>
      <c r="P1937" t="s">
        <v>4367</v>
      </c>
      <c r="Q1937" t="b">
        <v>1</v>
      </c>
      <c r="S1937" t="str">
        <f>"9780310339120"</f>
        <v>9780310339120</v>
      </c>
      <c r="T1937" t="str">
        <f>"9780310332121"</f>
        <v>9780310332121</v>
      </c>
      <c r="U1937" t="b">
        <v>0</v>
      </c>
      <c r="W1937" t="b">
        <v>0</v>
      </c>
    </row>
    <row r="1938" spans="1:23" x14ac:dyDescent="0.3">
      <c r="A1938">
        <v>2980749</v>
      </c>
      <c r="B1938">
        <v>62.07</v>
      </c>
      <c r="C1938" t="s">
        <v>4368</v>
      </c>
      <c r="D1938" t="s">
        <v>4369</v>
      </c>
      <c r="E1938" t="s">
        <v>23</v>
      </c>
      <c r="F1938" t="s">
        <v>44</v>
      </c>
      <c r="G1938">
        <v>2019</v>
      </c>
      <c r="H1938" t="s">
        <v>52</v>
      </c>
      <c r="K1938" t="s">
        <v>25</v>
      </c>
      <c r="L1938" t="s">
        <v>26</v>
      </c>
      <c r="M1938" t="b">
        <v>1</v>
      </c>
      <c r="N1938" t="s">
        <v>4370</v>
      </c>
      <c r="Q1938" t="b">
        <v>0</v>
      </c>
      <c r="S1938" t="str">
        <f>"9780310356035"</f>
        <v>9780310356035</v>
      </c>
      <c r="T1938" t="str">
        <f>"9780310356042"</f>
        <v>9780310356042</v>
      </c>
      <c r="U1938" t="b">
        <v>0</v>
      </c>
      <c r="W1938" t="b">
        <v>0</v>
      </c>
    </row>
    <row r="1939" spans="1:23" x14ac:dyDescent="0.3">
      <c r="A1939">
        <v>2980748</v>
      </c>
      <c r="B1939">
        <v>86.22</v>
      </c>
      <c r="C1939" t="s">
        <v>4371</v>
      </c>
      <c r="D1939" t="s">
        <v>4372</v>
      </c>
      <c r="E1939" t="s">
        <v>23</v>
      </c>
      <c r="F1939" t="s">
        <v>44</v>
      </c>
      <c r="G1939">
        <v>2020</v>
      </c>
      <c r="H1939" t="s">
        <v>56</v>
      </c>
      <c r="K1939" t="s">
        <v>25</v>
      </c>
      <c r="L1939" t="s">
        <v>26</v>
      </c>
      <c r="M1939" t="b">
        <v>1</v>
      </c>
      <c r="N1939" t="s">
        <v>4373</v>
      </c>
      <c r="Q1939" t="b">
        <v>0</v>
      </c>
      <c r="S1939" t="str">
        <f>"9780310357827"</f>
        <v>9780310357827</v>
      </c>
      <c r="T1939" t="str">
        <f>"9780310357841"</f>
        <v>9780310357841</v>
      </c>
      <c r="U1939" t="b">
        <v>0</v>
      </c>
      <c r="W1939" t="b">
        <v>0</v>
      </c>
    </row>
    <row r="1940" spans="1:23" x14ac:dyDescent="0.3">
      <c r="A1940">
        <v>2980747</v>
      </c>
      <c r="B1940">
        <v>55.17</v>
      </c>
      <c r="C1940" t="s">
        <v>4374</v>
      </c>
      <c r="D1940" t="s">
        <v>4375</v>
      </c>
      <c r="E1940" t="s">
        <v>23</v>
      </c>
      <c r="F1940" t="s">
        <v>44</v>
      </c>
      <c r="G1940">
        <v>2013</v>
      </c>
      <c r="H1940" t="s">
        <v>24</v>
      </c>
      <c r="K1940" t="s">
        <v>25</v>
      </c>
      <c r="L1940" t="s">
        <v>30</v>
      </c>
      <c r="M1940" t="b">
        <v>1</v>
      </c>
      <c r="N1940" t="s">
        <v>4376</v>
      </c>
      <c r="Q1940" t="b">
        <v>0</v>
      </c>
      <c r="S1940" t="str">
        <f>"9780310338185"</f>
        <v>9780310338185</v>
      </c>
      <c r="T1940" t="str">
        <f>"9780310338086"</f>
        <v>9780310338086</v>
      </c>
      <c r="U1940" t="b">
        <v>0</v>
      </c>
      <c r="W1940" t="b">
        <v>0</v>
      </c>
    </row>
    <row r="1941" spans="1:23" x14ac:dyDescent="0.3">
      <c r="A1941">
        <v>2980746</v>
      </c>
      <c r="B1941">
        <v>86.22</v>
      </c>
      <c r="C1941" t="s">
        <v>4377</v>
      </c>
      <c r="E1941" t="s">
        <v>23</v>
      </c>
      <c r="F1941" t="s">
        <v>44</v>
      </c>
      <c r="G1941">
        <v>2012</v>
      </c>
      <c r="H1941" t="s">
        <v>67</v>
      </c>
      <c r="K1941" t="s">
        <v>25</v>
      </c>
      <c r="L1941" t="s">
        <v>30</v>
      </c>
      <c r="M1941" t="b">
        <v>1</v>
      </c>
      <c r="N1941" t="s">
        <v>2632</v>
      </c>
      <c r="P1941" t="s">
        <v>2633</v>
      </c>
      <c r="Q1941" t="b">
        <v>1</v>
      </c>
      <c r="S1941" t="str">
        <f>"9780310326465"</f>
        <v>9780310326465</v>
      </c>
      <c r="T1941" t="str">
        <f>"9780310326496"</f>
        <v>9780310326496</v>
      </c>
      <c r="U1941" t="b">
        <v>0</v>
      </c>
      <c r="W1941" t="b">
        <v>0</v>
      </c>
    </row>
    <row r="1942" spans="1:23" x14ac:dyDescent="0.3">
      <c r="A1942">
        <v>2980745</v>
      </c>
      <c r="B1942">
        <v>62.07</v>
      </c>
      <c r="C1942" t="s">
        <v>4378</v>
      </c>
      <c r="D1942" t="s">
        <v>4379</v>
      </c>
      <c r="E1942" t="s">
        <v>23</v>
      </c>
      <c r="F1942" t="s">
        <v>44</v>
      </c>
      <c r="G1942">
        <v>2019</v>
      </c>
      <c r="H1942" t="s">
        <v>912</v>
      </c>
      <c r="K1942" t="s">
        <v>25</v>
      </c>
      <c r="L1942" t="s">
        <v>26</v>
      </c>
      <c r="M1942" t="b">
        <v>1</v>
      </c>
      <c r="N1942" t="s">
        <v>1116</v>
      </c>
      <c r="Q1942" t="b">
        <v>0</v>
      </c>
      <c r="S1942" t="str">
        <f>"9780310355274"</f>
        <v>9780310355274</v>
      </c>
      <c r="T1942" t="str">
        <f>"9780310355281"</f>
        <v>9780310355281</v>
      </c>
      <c r="U1942" t="b">
        <v>0</v>
      </c>
      <c r="W1942" t="b">
        <v>0</v>
      </c>
    </row>
    <row r="1943" spans="1:23" x14ac:dyDescent="0.3">
      <c r="A1943">
        <v>2980744</v>
      </c>
      <c r="B1943">
        <v>17.73</v>
      </c>
      <c r="C1943" t="s">
        <v>4380</v>
      </c>
      <c r="E1943" t="s">
        <v>23</v>
      </c>
      <c r="F1943" t="s">
        <v>44</v>
      </c>
      <c r="G1943">
        <v>2009</v>
      </c>
      <c r="H1943" t="s">
        <v>718</v>
      </c>
      <c r="K1943" t="s">
        <v>25</v>
      </c>
      <c r="L1943" t="s">
        <v>30</v>
      </c>
      <c r="M1943" t="b">
        <v>1</v>
      </c>
      <c r="N1943" t="s">
        <v>83</v>
      </c>
      <c r="P1943" t="s">
        <v>1624</v>
      </c>
      <c r="Q1943" t="b">
        <v>1</v>
      </c>
      <c r="S1943" t="str">
        <f>"9780310718406"</f>
        <v>9780310718406</v>
      </c>
      <c r="T1943" t="str">
        <f>"9780310575849"</f>
        <v>9780310575849</v>
      </c>
      <c r="U1943" t="b">
        <v>0</v>
      </c>
      <c r="W1943" t="b">
        <v>0</v>
      </c>
    </row>
    <row r="1944" spans="1:23" x14ac:dyDescent="0.3">
      <c r="A1944">
        <v>2980743</v>
      </c>
      <c r="B1944">
        <v>62.07</v>
      </c>
      <c r="C1944" t="s">
        <v>4381</v>
      </c>
      <c r="D1944" t="s">
        <v>4382</v>
      </c>
      <c r="E1944" t="s">
        <v>23</v>
      </c>
      <c r="F1944" t="s">
        <v>44</v>
      </c>
      <c r="G1944">
        <v>2018</v>
      </c>
      <c r="H1944" t="s">
        <v>107</v>
      </c>
      <c r="K1944" t="s">
        <v>25</v>
      </c>
      <c r="L1944" t="s">
        <v>26</v>
      </c>
      <c r="M1944" t="b">
        <v>1</v>
      </c>
      <c r="N1944" t="s">
        <v>4383</v>
      </c>
      <c r="Q1944" t="b">
        <v>0</v>
      </c>
      <c r="S1944" t="str">
        <f>"9780310345039"</f>
        <v>9780310345039</v>
      </c>
      <c r="T1944" t="str">
        <f>"9780310345008"</f>
        <v>9780310345008</v>
      </c>
      <c r="U1944" t="b">
        <v>0</v>
      </c>
      <c r="W1944" t="b">
        <v>0</v>
      </c>
    </row>
    <row r="1945" spans="1:23" x14ac:dyDescent="0.3">
      <c r="A1945">
        <v>2980742</v>
      </c>
      <c r="B1945">
        <v>58.62</v>
      </c>
      <c r="C1945" t="s">
        <v>4384</v>
      </c>
      <c r="E1945" t="s">
        <v>23</v>
      </c>
      <c r="F1945" t="s">
        <v>44</v>
      </c>
      <c r="G1945">
        <v>2017</v>
      </c>
      <c r="H1945" t="s">
        <v>849</v>
      </c>
      <c r="K1945" t="s">
        <v>25</v>
      </c>
      <c r="L1945" t="s">
        <v>26</v>
      </c>
      <c r="M1945" t="b">
        <v>1</v>
      </c>
      <c r="N1945" t="s">
        <v>77</v>
      </c>
      <c r="P1945" t="s">
        <v>4041</v>
      </c>
      <c r="Q1945" t="b">
        <v>1</v>
      </c>
      <c r="S1945" t="str">
        <f>"9780310332480"</f>
        <v>9780310332480</v>
      </c>
      <c r="T1945" t="str">
        <f>"9780310332510"</f>
        <v>9780310332510</v>
      </c>
      <c r="U1945" t="b">
        <v>0</v>
      </c>
      <c r="W1945" t="b">
        <v>0</v>
      </c>
    </row>
    <row r="1946" spans="1:23" x14ac:dyDescent="0.3">
      <c r="A1946">
        <v>2980741</v>
      </c>
      <c r="B1946">
        <v>58.62</v>
      </c>
      <c r="C1946" t="s">
        <v>4385</v>
      </c>
      <c r="D1946" t="s">
        <v>4386</v>
      </c>
      <c r="E1946" t="s">
        <v>23</v>
      </c>
      <c r="F1946" t="s">
        <v>44</v>
      </c>
      <c r="G1946">
        <v>2011</v>
      </c>
      <c r="H1946" t="s">
        <v>2535</v>
      </c>
      <c r="K1946" t="s">
        <v>25</v>
      </c>
      <c r="L1946" t="s">
        <v>26</v>
      </c>
      <c r="M1946" t="b">
        <v>1</v>
      </c>
      <c r="N1946" t="s">
        <v>4387</v>
      </c>
      <c r="Q1946" t="b">
        <v>1</v>
      </c>
      <c r="S1946" t="str">
        <f>"9780310322023"</f>
        <v>9780310322023</v>
      </c>
      <c r="T1946" t="str">
        <f>"9780310412625"</f>
        <v>9780310412625</v>
      </c>
      <c r="U1946" t="b">
        <v>0</v>
      </c>
      <c r="W1946" t="b">
        <v>0</v>
      </c>
    </row>
    <row r="1947" spans="1:23" x14ac:dyDescent="0.3">
      <c r="A1947">
        <v>2980740</v>
      </c>
      <c r="B1947">
        <v>62.07</v>
      </c>
      <c r="C1947" t="s">
        <v>4388</v>
      </c>
      <c r="D1947" t="s">
        <v>4389</v>
      </c>
      <c r="E1947" t="s">
        <v>23</v>
      </c>
      <c r="F1947" t="s">
        <v>44</v>
      </c>
      <c r="G1947">
        <v>2019</v>
      </c>
      <c r="H1947" t="s">
        <v>107</v>
      </c>
      <c r="K1947" t="s">
        <v>25</v>
      </c>
      <c r="L1947" t="s">
        <v>26</v>
      </c>
      <c r="M1947" t="b">
        <v>1</v>
      </c>
      <c r="N1947" t="s">
        <v>4390</v>
      </c>
      <c r="Q1947" t="b">
        <v>0</v>
      </c>
      <c r="S1947" t="str">
        <f>"9780310351849"</f>
        <v>9780310351849</v>
      </c>
      <c r="T1947" t="str">
        <f>"9780310353003"</f>
        <v>9780310353003</v>
      </c>
      <c r="U1947" t="b">
        <v>0</v>
      </c>
      <c r="W1947" t="b">
        <v>0</v>
      </c>
    </row>
    <row r="1948" spans="1:23" x14ac:dyDescent="0.3">
      <c r="A1948">
        <v>2980739</v>
      </c>
      <c r="B1948">
        <v>58.62</v>
      </c>
      <c r="C1948" t="s">
        <v>4391</v>
      </c>
      <c r="D1948" t="s">
        <v>4392</v>
      </c>
      <c r="E1948" t="s">
        <v>23</v>
      </c>
      <c r="F1948" t="s">
        <v>44</v>
      </c>
      <c r="G1948">
        <v>2009</v>
      </c>
      <c r="H1948" t="s">
        <v>69</v>
      </c>
      <c r="K1948" t="s">
        <v>25</v>
      </c>
      <c r="L1948" t="s">
        <v>30</v>
      </c>
      <c r="M1948" t="b">
        <v>1</v>
      </c>
      <c r="N1948" t="s">
        <v>4393</v>
      </c>
      <c r="Q1948" t="b">
        <v>0</v>
      </c>
      <c r="S1948" t="str">
        <f>"9780310240280"</f>
        <v>9780310240280</v>
      </c>
      <c r="T1948" t="str">
        <f>"9780310853343"</f>
        <v>9780310853343</v>
      </c>
      <c r="U1948" t="b">
        <v>0</v>
      </c>
      <c r="W1948" t="b">
        <v>0</v>
      </c>
    </row>
    <row r="1949" spans="1:23" x14ac:dyDescent="0.3">
      <c r="A1949">
        <v>2980738</v>
      </c>
      <c r="B1949">
        <v>34.47</v>
      </c>
      <c r="C1949" t="s">
        <v>4394</v>
      </c>
      <c r="E1949" t="s">
        <v>23</v>
      </c>
      <c r="F1949" t="s">
        <v>44</v>
      </c>
      <c r="G1949">
        <v>2010</v>
      </c>
      <c r="H1949" t="s">
        <v>3147</v>
      </c>
      <c r="K1949" t="s">
        <v>25</v>
      </c>
      <c r="L1949" t="s">
        <v>30</v>
      </c>
      <c r="M1949" t="b">
        <v>1</v>
      </c>
      <c r="N1949" t="s">
        <v>3561</v>
      </c>
      <c r="P1949" t="s">
        <v>3562</v>
      </c>
      <c r="Q1949" t="b">
        <v>0</v>
      </c>
      <c r="S1949" t="str">
        <f>"9780310719236"</f>
        <v>9780310719236</v>
      </c>
      <c r="T1949" t="str">
        <f>"9780310416678"</f>
        <v>9780310416678</v>
      </c>
      <c r="U1949" t="b">
        <v>0</v>
      </c>
      <c r="W1949" t="b">
        <v>0</v>
      </c>
    </row>
    <row r="1950" spans="1:23" x14ac:dyDescent="0.3">
      <c r="A1950">
        <v>2980737</v>
      </c>
      <c r="B1950">
        <v>58.62</v>
      </c>
      <c r="C1950" t="s">
        <v>4395</v>
      </c>
      <c r="D1950" t="s">
        <v>4396</v>
      </c>
      <c r="E1950" t="s">
        <v>23</v>
      </c>
      <c r="F1950" t="s">
        <v>44</v>
      </c>
      <c r="G1950">
        <v>2018</v>
      </c>
      <c r="H1950" t="s">
        <v>58</v>
      </c>
      <c r="K1950" t="s">
        <v>25</v>
      </c>
      <c r="L1950" t="s">
        <v>26</v>
      </c>
      <c r="M1950" t="b">
        <v>1</v>
      </c>
      <c r="N1950" t="s">
        <v>3338</v>
      </c>
      <c r="Q1950" t="b">
        <v>0</v>
      </c>
      <c r="S1950" t="str">
        <f>"9780310350392"</f>
        <v>9780310350392</v>
      </c>
      <c r="T1950" t="str">
        <f>"9780310351535"</f>
        <v>9780310351535</v>
      </c>
      <c r="U1950" t="b">
        <v>0</v>
      </c>
      <c r="W1950" t="b">
        <v>0</v>
      </c>
    </row>
    <row r="1951" spans="1:23" x14ac:dyDescent="0.3">
      <c r="A1951">
        <v>2980736</v>
      </c>
      <c r="B1951">
        <v>27.57</v>
      </c>
      <c r="C1951" t="s">
        <v>4397</v>
      </c>
      <c r="D1951" t="s">
        <v>4398</v>
      </c>
      <c r="E1951" t="s">
        <v>23</v>
      </c>
      <c r="F1951" t="s">
        <v>44</v>
      </c>
      <c r="G1951">
        <v>2018</v>
      </c>
      <c r="H1951" t="s">
        <v>772</v>
      </c>
      <c r="K1951" t="s">
        <v>25</v>
      </c>
      <c r="L1951" t="s">
        <v>26</v>
      </c>
      <c r="M1951" t="b">
        <v>1</v>
      </c>
      <c r="N1951" t="s">
        <v>4399</v>
      </c>
      <c r="Q1951" t="b">
        <v>1</v>
      </c>
      <c r="S1951" t="str">
        <f>"9780785217596"</f>
        <v>9780785217596</v>
      </c>
      <c r="T1951" t="str">
        <f>"9780785219682"</f>
        <v>9780785219682</v>
      </c>
      <c r="U1951" t="b">
        <v>0</v>
      </c>
      <c r="W1951" t="b">
        <v>0</v>
      </c>
    </row>
    <row r="1952" spans="1:23" x14ac:dyDescent="0.3">
      <c r="A1952">
        <v>2980735</v>
      </c>
      <c r="B1952">
        <v>113.82</v>
      </c>
      <c r="C1952" t="s">
        <v>4400</v>
      </c>
      <c r="D1952" t="s">
        <v>4401</v>
      </c>
      <c r="E1952" t="s">
        <v>23</v>
      </c>
      <c r="F1952" t="s">
        <v>44</v>
      </c>
      <c r="G1952">
        <v>2014</v>
      </c>
      <c r="H1952" t="s">
        <v>4402</v>
      </c>
      <c r="K1952" t="s">
        <v>25</v>
      </c>
      <c r="L1952" t="s">
        <v>26</v>
      </c>
      <c r="M1952" t="b">
        <v>1</v>
      </c>
      <c r="N1952" t="s">
        <v>4403</v>
      </c>
      <c r="P1952" t="s">
        <v>2794</v>
      </c>
      <c r="Q1952" t="b">
        <v>0</v>
      </c>
      <c r="S1952" t="str">
        <f>"9780310344261"</f>
        <v>9780310344261</v>
      </c>
      <c r="T1952" t="str">
        <f>"9780310344278"</f>
        <v>9780310344278</v>
      </c>
      <c r="U1952" t="b">
        <v>0</v>
      </c>
      <c r="W1952" t="b">
        <v>0</v>
      </c>
    </row>
    <row r="1953" spans="1:23" x14ac:dyDescent="0.3">
      <c r="A1953">
        <v>2980734</v>
      </c>
      <c r="B1953">
        <v>27.57</v>
      </c>
      <c r="C1953" t="s">
        <v>4404</v>
      </c>
      <c r="D1953" t="s">
        <v>4405</v>
      </c>
      <c r="E1953" t="s">
        <v>23</v>
      </c>
      <c r="F1953" t="s">
        <v>44</v>
      </c>
      <c r="G1953">
        <v>2014</v>
      </c>
      <c r="H1953" t="s">
        <v>58</v>
      </c>
      <c r="K1953" t="s">
        <v>25</v>
      </c>
      <c r="L1953" t="s">
        <v>30</v>
      </c>
      <c r="M1953" t="b">
        <v>1</v>
      </c>
      <c r="N1953" t="s">
        <v>4406</v>
      </c>
      <c r="P1953" t="s">
        <v>3507</v>
      </c>
      <c r="Q1953" t="b">
        <v>0</v>
      </c>
      <c r="S1953" t="str">
        <f>"9780310433309"</f>
        <v>9780310433309</v>
      </c>
      <c r="T1953" t="str">
        <f>"9780310433408"</f>
        <v>9780310433408</v>
      </c>
      <c r="U1953" t="b">
        <v>0</v>
      </c>
      <c r="W1953" t="b">
        <v>0</v>
      </c>
    </row>
    <row r="1954" spans="1:23" x14ac:dyDescent="0.3">
      <c r="A1954">
        <v>2980733</v>
      </c>
      <c r="B1954">
        <v>93.12</v>
      </c>
      <c r="C1954" t="s">
        <v>4407</v>
      </c>
      <c r="D1954" t="s">
        <v>4408</v>
      </c>
      <c r="E1954" t="s">
        <v>23</v>
      </c>
      <c r="F1954" t="s">
        <v>44</v>
      </c>
      <c r="G1954">
        <v>2019</v>
      </c>
      <c r="H1954" t="s">
        <v>804</v>
      </c>
      <c r="K1954" t="s">
        <v>25</v>
      </c>
      <c r="L1954" t="s">
        <v>26</v>
      </c>
      <c r="M1954" t="b">
        <v>1</v>
      </c>
      <c r="N1954" t="s">
        <v>4409</v>
      </c>
      <c r="Q1954" t="b">
        <v>0</v>
      </c>
      <c r="S1954" t="str">
        <f>"9780310356363"</f>
        <v>9780310356363</v>
      </c>
      <c r="T1954" t="str">
        <f>"9780310356370"</f>
        <v>9780310356370</v>
      </c>
      <c r="U1954" t="b">
        <v>0</v>
      </c>
      <c r="W1954" t="b">
        <v>0</v>
      </c>
    </row>
    <row r="1955" spans="1:23" x14ac:dyDescent="0.3">
      <c r="A1955">
        <v>2980732</v>
      </c>
      <c r="B1955">
        <v>44.82</v>
      </c>
      <c r="C1955" t="s">
        <v>4410</v>
      </c>
      <c r="E1955" t="s">
        <v>23</v>
      </c>
      <c r="F1955" t="s">
        <v>44</v>
      </c>
      <c r="G1955">
        <v>2009</v>
      </c>
      <c r="H1955" t="s">
        <v>728</v>
      </c>
      <c r="K1955" t="s">
        <v>25</v>
      </c>
      <c r="L1955" t="s">
        <v>30</v>
      </c>
      <c r="M1955" t="b">
        <v>1</v>
      </c>
      <c r="N1955" t="s">
        <v>3066</v>
      </c>
      <c r="P1955" t="s">
        <v>3412</v>
      </c>
      <c r="Q1955" t="b">
        <v>1</v>
      </c>
      <c r="S1955" t="str">
        <f>"9780310671411"</f>
        <v>9780310671411</v>
      </c>
      <c r="T1955" t="str">
        <f>"9780310853220"</f>
        <v>9780310853220</v>
      </c>
      <c r="U1955" t="b">
        <v>0</v>
      </c>
      <c r="W1955" t="b">
        <v>0</v>
      </c>
    </row>
    <row r="1956" spans="1:23" x14ac:dyDescent="0.3">
      <c r="A1956">
        <v>2980731</v>
      </c>
      <c r="B1956">
        <v>35.5</v>
      </c>
      <c r="C1956" t="s">
        <v>4411</v>
      </c>
      <c r="D1956" t="s">
        <v>4412</v>
      </c>
      <c r="E1956" t="s">
        <v>23</v>
      </c>
      <c r="F1956" t="s">
        <v>44</v>
      </c>
      <c r="G1956">
        <v>2012</v>
      </c>
      <c r="H1956" t="s">
        <v>132</v>
      </c>
      <c r="K1956" t="s">
        <v>25</v>
      </c>
      <c r="L1956" t="s">
        <v>30</v>
      </c>
      <c r="M1956" t="b">
        <v>1</v>
      </c>
      <c r="N1956" t="s">
        <v>44</v>
      </c>
      <c r="P1956" t="s">
        <v>2226</v>
      </c>
      <c r="Q1956" t="b">
        <v>0</v>
      </c>
      <c r="T1956" t="str">
        <f>"9780310440796"</f>
        <v>9780310440796</v>
      </c>
      <c r="U1956" t="b">
        <v>0</v>
      </c>
      <c r="W1956" t="b">
        <v>0</v>
      </c>
    </row>
    <row r="1957" spans="1:23" x14ac:dyDescent="0.3">
      <c r="A1957">
        <v>2980730</v>
      </c>
      <c r="B1957">
        <v>51.72</v>
      </c>
      <c r="C1957" t="s">
        <v>4413</v>
      </c>
      <c r="D1957" t="s">
        <v>4414</v>
      </c>
      <c r="E1957" t="s">
        <v>23</v>
      </c>
      <c r="F1957" t="s">
        <v>44</v>
      </c>
      <c r="G1957">
        <v>2018</v>
      </c>
      <c r="H1957" t="s">
        <v>381</v>
      </c>
      <c r="K1957" t="s">
        <v>25</v>
      </c>
      <c r="L1957" t="s">
        <v>26</v>
      </c>
      <c r="M1957" t="b">
        <v>1</v>
      </c>
      <c r="N1957" t="s">
        <v>4415</v>
      </c>
      <c r="Q1957" t="b">
        <v>0</v>
      </c>
      <c r="S1957" t="str">
        <f>"9780310353461"</f>
        <v>9780310353461</v>
      </c>
      <c r="T1957" t="str">
        <f>"9780310353478"</f>
        <v>9780310353478</v>
      </c>
      <c r="U1957" t="b">
        <v>0</v>
      </c>
      <c r="W1957" t="b">
        <v>0</v>
      </c>
    </row>
    <row r="1958" spans="1:23" x14ac:dyDescent="0.3">
      <c r="A1958">
        <v>2980729</v>
      </c>
      <c r="B1958">
        <v>14.18</v>
      </c>
      <c r="C1958" t="s">
        <v>4416</v>
      </c>
      <c r="D1958" t="s">
        <v>4417</v>
      </c>
      <c r="E1958" t="s">
        <v>23</v>
      </c>
      <c r="F1958" t="s">
        <v>44</v>
      </c>
      <c r="G1958">
        <v>2019</v>
      </c>
      <c r="H1958" t="s">
        <v>772</v>
      </c>
      <c r="K1958" t="s">
        <v>25</v>
      </c>
      <c r="L1958" t="s">
        <v>30</v>
      </c>
      <c r="M1958" t="b">
        <v>1</v>
      </c>
      <c r="N1958" t="s">
        <v>776</v>
      </c>
      <c r="Q1958" t="b">
        <v>1</v>
      </c>
      <c r="T1958" t="str">
        <f>"9780310354352"</f>
        <v>9780310354352</v>
      </c>
      <c r="U1958" t="b">
        <v>0</v>
      </c>
      <c r="W1958" t="b">
        <v>0</v>
      </c>
    </row>
    <row r="1959" spans="1:23" x14ac:dyDescent="0.3">
      <c r="A1959">
        <v>2980728</v>
      </c>
      <c r="B1959">
        <v>68.97</v>
      </c>
      <c r="C1959" t="s">
        <v>4418</v>
      </c>
      <c r="D1959" t="s">
        <v>4419</v>
      </c>
      <c r="E1959" t="s">
        <v>23</v>
      </c>
      <c r="F1959" t="s">
        <v>44</v>
      </c>
      <c r="G1959">
        <v>2018</v>
      </c>
      <c r="H1959" t="s">
        <v>58</v>
      </c>
      <c r="K1959" t="s">
        <v>25</v>
      </c>
      <c r="L1959" t="s">
        <v>26</v>
      </c>
      <c r="M1959" t="b">
        <v>1</v>
      </c>
      <c r="N1959" t="s">
        <v>2778</v>
      </c>
      <c r="Q1959" t="b">
        <v>0</v>
      </c>
      <c r="S1959" t="str">
        <f>"9780310353058"</f>
        <v>9780310353058</v>
      </c>
      <c r="T1959" t="str">
        <f>"9780310353065"</f>
        <v>9780310353065</v>
      </c>
      <c r="U1959" t="b">
        <v>0</v>
      </c>
      <c r="W1959" t="b">
        <v>0</v>
      </c>
    </row>
    <row r="1960" spans="1:23" x14ac:dyDescent="0.3">
      <c r="A1960">
        <v>2980727</v>
      </c>
      <c r="B1960">
        <v>131.44</v>
      </c>
      <c r="C1960" t="s">
        <v>4420</v>
      </c>
      <c r="D1960" t="s">
        <v>4421</v>
      </c>
      <c r="E1960" t="s">
        <v>23</v>
      </c>
      <c r="F1960" t="s">
        <v>44</v>
      </c>
      <c r="G1960">
        <v>2014</v>
      </c>
      <c r="H1960" t="s">
        <v>66</v>
      </c>
      <c r="K1960" t="s">
        <v>25</v>
      </c>
      <c r="L1960" t="s">
        <v>30</v>
      </c>
      <c r="M1960" t="b">
        <v>1</v>
      </c>
      <c r="N1960" t="s">
        <v>77</v>
      </c>
      <c r="P1960" t="s">
        <v>3335</v>
      </c>
      <c r="Q1960" t="b">
        <v>1</v>
      </c>
      <c r="T1960" t="str">
        <f>"9780310342700"</f>
        <v>9780310342700</v>
      </c>
      <c r="U1960" t="b">
        <v>0</v>
      </c>
      <c r="W1960" t="b">
        <v>0</v>
      </c>
    </row>
    <row r="1961" spans="1:23" x14ac:dyDescent="0.3">
      <c r="A1961">
        <v>2980726</v>
      </c>
      <c r="B1961">
        <v>68.97</v>
      </c>
      <c r="C1961" t="s">
        <v>4422</v>
      </c>
      <c r="D1961" t="s">
        <v>4423</v>
      </c>
      <c r="E1961" t="s">
        <v>23</v>
      </c>
      <c r="F1961" t="s">
        <v>44</v>
      </c>
      <c r="G1961">
        <v>2016</v>
      </c>
      <c r="H1961" t="s">
        <v>62</v>
      </c>
      <c r="K1961" t="s">
        <v>25</v>
      </c>
      <c r="L1961" t="s">
        <v>26</v>
      </c>
      <c r="M1961" t="b">
        <v>1</v>
      </c>
      <c r="N1961" t="s">
        <v>4424</v>
      </c>
      <c r="Q1961" t="b">
        <v>0</v>
      </c>
      <c r="S1961" t="str">
        <f>"9780310345107"</f>
        <v>9780310345107</v>
      </c>
      <c r="T1961" t="str">
        <f>"9780310345145"</f>
        <v>9780310345145</v>
      </c>
      <c r="U1961" t="b">
        <v>0</v>
      </c>
      <c r="W1961" t="b">
        <v>0</v>
      </c>
    </row>
    <row r="1962" spans="1:23" x14ac:dyDescent="0.3">
      <c r="A1962">
        <v>2980725</v>
      </c>
      <c r="B1962">
        <v>78.14</v>
      </c>
      <c r="C1962" t="s">
        <v>4425</v>
      </c>
      <c r="E1962" t="s">
        <v>23</v>
      </c>
      <c r="F1962" t="s">
        <v>44</v>
      </c>
      <c r="G1962">
        <v>2011</v>
      </c>
      <c r="H1962" t="s">
        <v>746</v>
      </c>
      <c r="K1962" t="s">
        <v>25</v>
      </c>
      <c r="L1962" t="s">
        <v>26</v>
      </c>
      <c r="M1962" t="b">
        <v>1</v>
      </c>
      <c r="N1962" t="s">
        <v>44</v>
      </c>
      <c r="Q1962" t="b">
        <v>0</v>
      </c>
      <c r="T1962" t="str">
        <f>"9780062062222"</f>
        <v>9780062062222</v>
      </c>
      <c r="U1962" t="b">
        <v>0</v>
      </c>
      <c r="W1962" t="b">
        <v>0</v>
      </c>
    </row>
    <row r="1963" spans="1:23" x14ac:dyDescent="0.3">
      <c r="A1963">
        <v>2980724</v>
      </c>
      <c r="B1963">
        <v>14.18</v>
      </c>
      <c r="C1963" t="s">
        <v>4426</v>
      </c>
      <c r="E1963" t="s">
        <v>23</v>
      </c>
      <c r="F1963" t="s">
        <v>44</v>
      </c>
      <c r="G1963">
        <v>2014</v>
      </c>
      <c r="H1963" t="s">
        <v>1212</v>
      </c>
      <c r="K1963" t="s">
        <v>25</v>
      </c>
      <c r="L1963" t="s">
        <v>30</v>
      </c>
      <c r="M1963" t="b">
        <v>1</v>
      </c>
      <c r="N1963" t="s">
        <v>2836</v>
      </c>
      <c r="P1963" t="s">
        <v>2785</v>
      </c>
      <c r="Q1963" t="b">
        <v>1</v>
      </c>
      <c r="T1963" t="str">
        <f>"9780310339137"</f>
        <v>9780310339137</v>
      </c>
      <c r="U1963" t="b">
        <v>0</v>
      </c>
      <c r="W1963" t="b">
        <v>0</v>
      </c>
    </row>
    <row r="1964" spans="1:23" x14ac:dyDescent="0.3">
      <c r="A1964">
        <v>2980723</v>
      </c>
      <c r="B1964">
        <v>42.61</v>
      </c>
      <c r="C1964" t="s">
        <v>4427</v>
      </c>
      <c r="E1964" t="s">
        <v>23</v>
      </c>
      <c r="F1964" t="s">
        <v>44</v>
      </c>
      <c r="G1964">
        <v>2010</v>
      </c>
      <c r="H1964" t="s">
        <v>82</v>
      </c>
      <c r="K1964" t="s">
        <v>25</v>
      </c>
      <c r="L1964" t="s">
        <v>30</v>
      </c>
      <c r="M1964" t="b">
        <v>1</v>
      </c>
      <c r="N1964" t="s">
        <v>915</v>
      </c>
      <c r="Q1964" t="b">
        <v>0</v>
      </c>
      <c r="T1964" t="str">
        <f>"9780310865841"</f>
        <v>9780310865841</v>
      </c>
      <c r="U1964" t="b">
        <v>0</v>
      </c>
      <c r="W1964" t="b">
        <v>0</v>
      </c>
    </row>
    <row r="1965" spans="1:23" x14ac:dyDescent="0.3">
      <c r="A1965">
        <v>2980722</v>
      </c>
      <c r="B1965">
        <v>27.57</v>
      </c>
      <c r="C1965" t="s">
        <v>4428</v>
      </c>
      <c r="E1965" t="s">
        <v>23</v>
      </c>
      <c r="F1965" t="s">
        <v>44</v>
      </c>
      <c r="G1965">
        <v>2018</v>
      </c>
      <c r="H1965" t="s">
        <v>772</v>
      </c>
      <c r="K1965" t="s">
        <v>25</v>
      </c>
      <c r="L1965" t="s">
        <v>26</v>
      </c>
      <c r="M1965" t="b">
        <v>1</v>
      </c>
      <c r="N1965" t="s">
        <v>742</v>
      </c>
      <c r="P1965" t="s">
        <v>4281</v>
      </c>
      <c r="Q1965" t="b">
        <v>1</v>
      </c>
      <c r="S1965" t="str">
        <f>"9780310360124"</f>
        <v>9780310360124</v>
      </c>
      <c r="T1965" t="str">
        <f>"9780310355090"</f>
        <v>9780310355090</v>
      </c>
      <c r="U1965" t="b">
        <v>0</v>
      </c>
      <c r="W1965" t="b">
        <v>0</v>
      </c>
    </row>
    <row r="1966" spans="1:23" x14ac:dyDescent="0.3">
      <c r="A1966">
        <v>2980721</v>
      </c>
      <c r="B1966">
        <v>44.82</v>
      </c>
      <c r="C1966" t="s">
        <v>4429</v>
      </c>
      <c r="D1966" t="s">
        <v>4430</v>
      </c>
      <c r="E1966" t="s">
        <v>23</v>
      </c>
      <c r="F1966" t="s">
        <v>44</v>
      </c>
      <c r="G1966">
        <v>2011</v>
      </c>
      <c r="H1966" t="s">
        <v>56</v>
      </c>
      <c r="K1966" t="s">
        <v>25</v>
      </c>
      <c r="L1966" t="s">
        <v>30</v>
      </c>
      <c r="M1966" t="b">
        <v>1</v>
      </c>
      <c r="N1966" t="s">
        <v>4431</v>
      </c>
      <c r="Q1966" t="b">
        <v>0</v>
      </c>
      <c r="S1966" t="str">
        <f>"9780310228011"</f>
        <v>9780310228011</v>
      </c>
      <c r="T1966" t="str">
        <f>"9780310863687"</f>
        <v>9780310863687</v>
      </c>
      <c r="U1966" t="b">
        <v>0</v>
      </c>
      <c r="W1966" t="b">
        <v>0</v>
      </c>
    </row>
    <row r="1967" spans="1:23" x14ac:dyDescent="0.3">
      <c r="A1967">
        <v>2980720</v>
      </c>
      <c r="B1967">
        <v>58.62</v>
      </c>
      <c r="C1967" t="s">
        <v>4432</v>
      </c>
      <c r="D1967" t="s">
        <v>4433</v>
      </c>
      <c r="E1967" t="s">
        <v>23</v>
      </c>
      <c r="F1967" t="s">
        <v>44</v>
      </c>
      <c r="G1967">
        <v>2018</v>
      </c>
      <c r="H1967" t="s">
        <v>132</v>
      </c>
      <c r="K1967" t="s">
        <v>25</v>
      </c>
      <c r="L1967" t="s">
        <v>26</v>
      </c>
      <c r="M1967" t="b">
        <v>1</v>
      </c>
      <c r="N1967" t="s">
        <v>2641</v>
      </c>
      <c r="Q1967" t="b">
        <v>0</v>
      </c>
      <c r="S1967" t="str">
        <f>"9780310345961"</f>
        <v>9780310345961</v>
      </c>
      <c r="T1967" t="str">
        <f>"9780310452034"</f>
        <v>9780310452034</v>
      </c>
      <c r="U1967" t="b">
        <v>0</v>
      </c>
      <c r="W1967" t="b">
        <v>0</v>
      </c>
    </row>
    <row r="1968" spans="1:23" x14ac:dyDescent="0.3">
      <c r="A1968">
        <v>2980719</v>
      </c>
      <c r="B1968">
        <v>51.72</v>
      </c>
      <c r="C1968" t="s">
        <v>4434</v>
      </c>
      <c r="D1968" t="s">
        <v>4435</v>
      </c>
      <c r="E1968" t="s">
        <v>23</v>
      </c>
      <c r="F1968" t="s">
        <v>44</v>
      </c>
      <c r="G1968">
        <v>2014</v>
      </c>
      <c r="H1968" t="s">
        <v>99</v>
      </c>
      <c r="K1968" t="s">
        <v>25</v>
      </c>
      <c r="L1968" t="s">
        <v>30</v>
      </c>
      <c r="M1968" t="b">
        <v>1</v>
      </c>
      <c r="N1968" t="s">
        <v>4436</v>
      </c>
      <c r="Q1968" t="b">
        <v>0</v>
      </c>
      <c r="S1968" t="str">
        <f>"9780310338178"</f>
        <v>9780310338178</v>
      </c>
      <c r="T1968" t="str">
        <f>"9780310338192"</f>
        <v>9780310338192</v>
      </c>
      <c r="U1968" t="b">
        <v>0</v>
      </c>
      <c r="W1968" t="b">
        <v>0</v>
      </c>
    </row>
    <row r="1969" spans="1:23" x14ac:dyDescent="0.3">
      <c r="A1969">
        <v>2980718</v>
      </c>
      <c r="B1969">
        <v>55.17</v>
      </c>
      <c r="C1969" t="s">
        <v>4437</v>
      </c>
      <c r="E1969" t="s">
        <v>23</v>
      </c>
      <c r="F1969" t="s">
        <v>44</v>
      </c>
      <c r="G1969">
        <v>2010</v>
      </c>
      <c r="H1969" t="s">
        <v>66</v>
      </c>
      <c r="K1969" t="s">
        <v>25</v>
      </c>
      <c r="L1969" t="s">
        <v>30</v>
      </c>
      <c r="M1969" t="b">
        <v>1</v>
      </c>
      <c r="N1969" t="s">
        <v>77</v>
      </c>
      <c r="P1969" t="s">
        <v>3335</v>
      </c>
      <c r="Q1969" t="b">
        <v>1</v>
      </c>
      <c r="S1969" t="str">
        <f>"9780310207092"</f>
        <v>9780310207092</v>
      </c>
      <c r="T1969" t="str">
        <f>"9780310864646"</f>
        <v>9780310864646</v>
      </c>
      <c r="U1969" t="b">
        <v>0</v>
      </c>
      <c r="W1969" t="b">
        <v>0</v>
      </c>
    </row>
    <row r="1970" spans="1:23" x14ac:dyDescent="0.3">
      <c r="A1970">
        <v>2980717</v>
      </c>
      <c r="B1970">
        <v>44.82</v>
      </c>
      <c r="C1970" t="s">
        <v>4438</v>
      </c>
      <c r="D1970" t="s">
        <v>4439</v>
      </c>
      <c r="E1970" t="s">
        <v>23</v>
      </c>
      <c r="F1970" t="s">
        <v>44</v>
      </c>
      <c r="G1970">
        <v>2010</v>
      </c>
      <c r="H1970" t="s">
        <v>4440</v>
      </c>
      <c r="K1970" t="s">
        <v>25</v>
      </c>
      <c r="L1970" t="s">
        <v>30</v>
      </c>
      <c r="M1970" t="b">
        <v>1</v>
      </c>
      <c r="N1970" t="s">
        <v>4441</v>
      </c>
      <c r="Q1970" t="b">
        <v>0</v>
      </c>
      <c r="S1970" t="str">
        <f>"9780310247425"</f>
        <v>9780310247425</v>
      </c>
      <c r="T1970" t="str">
        <f>"9780310874195"</f>
        <v>9780310874195</v>
      </c>
      <c r="U1970" t="b">
        <v>0</v>
      </c>
      <c r="W1970" t="b">
        <v>0</v>
      </c>
    </row>
    <row r="1971" spans="1:23" x14ac:dyDescent="0.3">
      <c r="A1971">
        <v>2980716</v>
      </c>
      <c r="B1971">
        <v>79.319999999999993</v>
      </c>
      <c r="C1971" t="s">
        <v>4442</v>
      </c>
      <c r="E1971" t="s">
        <v>23</v>
      </c>
      <c r="F1971" t="s">
        <v>44</v>
      </c>
      <c r="G1971">
        <v>2010</v>
      </c>
      <c r="H1971" t="s">
        <v>99</v>
      </c>
      <c r="K1971" t="s">
        <v>25</v>
      </c>
      <c r="L1971" t="s">
        <v>30</v>
      </c>
      <c r="M1971" t="b">
        <v>1</v>
      </c>
      <c r="N1971" t="s">
        <v>4443</v>
      </c>
      <c r="Q1971" t="b">
        <v>0</v>
      </c>
      <c r="S1971" t="str">
        <f>"9780310269991"</f>
        <v>9780310269991</v>
      </c>
      <c r="T1971" t="str">
        <f>"9780310861003"</f>
        <v>9780310861003</v>
      </c>
      <c r="U1971" t="b">
        <v>0</v>
      </c>
      <c r="W1971" t="b">
        <v>0</v>
      </c>
    </row>
    <row r="1972" spans="1:23" x14ac:dyDescent="0.3">
      <c r="A1972">
        <v>2980715</v>
      </c>
      <c r="B1972">
        <v>51.72</v>
      </c>
      <c r="C1972" t="s">
        <v>4444</v>
      </c>
      <c r="D1972" t="s">
        <v>4445</v>
      </c>
      <c r="E1972" t="s">
        <v>23</v>
      </c>
      <c r="F1972" t="s">
        <v>44</v>
      </c>
      <c r="G1972">
        <v>2011</v>
      </c>
      <c r="H1972" t="s">
        <v>58</v>
      </c>
      <c r="K1972" t="s">
        <v>25</v>
      </c>
      <c r="L1972" t="s">
        <v>30</v>
      </c>
      <c r="M1972" t="b">
        <v>1</v>
      </c>
      <c r="N1972" t="s">
        <v>4446</v>
      </c>
      <c r="Q1972" t="b">
        <v>0</v>
      </c>
      <c r="S1972" t="str">
        <f>"9780310285434"</f>
        <v>9780310285434</v>
      </c>
      <c r="T1972" t="str">
        <f>"9780310562740"</f>
        <v>9780310562740</v>
      </c>
      <c r="U1972" t="b">
        <v>0</v>
      </c>
      <c r="W1972" t="b">
        <v>0</v>
      </c>
    </row>
    <row r="1973" spans="1:23" x14ac:dyDescent="0.3">
      <c r="A1973">
        <v>2980714</v>
      </c>
      <c r="B1973">
        <v>34.47</v>
      </c>
      <c r="C1973" t="s">
        <v>4447</v>
      </c>
      <c r="E1973" t="s">
        <v>23</v>
      </c>
      <c r="F1973" t="s">
        <v>44</v>
      </c>
      <c r="G1973">
        <v>2009</v>
      </c>
      <c r="H1973" t="s">
        <v>168</v>
      </c>
      <c r="K1973" t="s">
        <v>25</v>
      </c>
      <c r="L1973" t="s">
        <v>30</v>
      </c>
      <c r="M1973" t="b">
        <v>1</v>
      </c>
      <c r="N1973" t="s">
        <v>1458</v>
      </c>
      <c r="P1973" t="s">
        <v>3077</v>
      </c>
      <c r="Q1973" t="b">
        <v>0</v>
      </c>
      <c r="S1973" t="str">
        <f>"9780310278832"</f>
        <v>9780310278832</v>
      </c>
      <c r="T1973" t="str">
        <f>"9780310863120"</f>
        <v>9780310863120</v>
      </c>
      <c r="U1973" t="b">
        <v>0</v>
      </c>
      <c r="W1973" t="b">
        <v>0</v>
      </c>
    </row>
    <row r="1974" spans="1:23" x14ac:dyDescent="0.3">
      <c r="A1974">
        <v>2980713</v>
      </c>
      <c r="B1974">
        <v>44.82</v>
      </c>
      <c r="C1974" t="s">
        <v>4448</v>
      </c>
      <c r="E1974" t="s">
        <v>23</v>
      </c>
      <c r="F1974" t="s">
        <v>44</v>
      </c>
      <c r="G1974">
        <v>2012</v>
      </c>
      <c r="H1974" t="s">
        <v>66</v>
      </c>
      <c r="K1974" t="s">
        <v>25</v>
      </c>
      <c r="L1974" t="s">
        <v>30</v>
      </c>
      <c r="M1974" t="b">
        <v>1</v>
      </c>
      <c r="N1974" t="s">
        <v>2682</v>
      </c>
      <c r="P1974" t="s">
        <v>3812</v>
      </c>
      <c r="Q1974" t="b">
        <v>1</v>
      </c>
      <c r="S1974" t="str">
        <f>"9780310320340"</f>
        <v>9780310320340</v>
      </c>
      <c r="T1974" t="str">
        <f>"9780310412786"</f>
        <v>9780310412786</v>
      </c>
      <c r="U1974" t="b">
        <v>0</v>
      </c>
      <c r="W1974" t="b">
        <v>0</v>
      </c>
    </row>
    <row r="1975" spans="1:23" x14ac:dyDescent="0.3">
      <c r="A1975">
        <v>2980712</v>
      </c>
      <c r="B1975">
        <v>42.61</v>
      </c>
      <c r="C1975" t="s">
        <v>4449</v>
      </c>
      <c r="D1975" t="s">
        <v>4450</v>
      </c>
      <c r="E1975" t="s">
        <v>23</v>
      </c>
      <c r="F1975" t="s">
        <v>44</v>
      </c>
      <c r="G1975">
        <v>2009</v>
      </c>
      <c r="H1975" t="s">
        <v>4451</v>
      </c>
      <c r="K1975" t="s">
        <v>25</v>
      </c>
      <c r="L1975" t="s">
        <v>26</v>
      </c>
      <c r="M1975" t="b">
        <v>1</v>
      </c>
      <c r="N1975" t="s">
        <v>2623</v>
      </c>
      <c r="Q1975" t="b">
        <v>0</v>
      </c>
      <c r="T1975" t="str">
        <f>"9780310561286"</f>
        <v>9780310561286</v>
      </c>
      <c r="U1975" t="b">
        <v>0</v>
      </c>
      <c r="W1975" t="b">
        <v>0</v>
      </c>
    </row>
    <row r="1976" spans="1:23" x14ac:dyDescent="0.3">
      <c r="A1976">
        <v>2980711</v>
      </c>
      <c r="B1976">
        <v>28.39</v>
      </c>
      <c r="C1976" t="s">
        <v>4452</v>
      </c>
      <c r="E1976" t="s">
        <v>23</v>
      </c>
      <c r="F1976" t="s">
        <v>44</v>
      </c>
      <c r="G1976">
        <v>2009</v>
      </c>
      <c r="H1976" t="s">
        <v>714</v>
      </c>
      <c r="K1976" t="s">
        <v>25</v>
      </c>
      <c r="L1976" t="s">
        <v>30</v>
      </c>
      <c r="M1976" t="b">
        <v>1</v>
      </c>
      <c r="N1976" t="s">
        <v>408</v>
      </c>
      <c r="P1976" t="s">
        <v>3599</v>
      </c>
      <c r="Q1976" t="b">
        <v>1</v>
      </c>
      <c r="T1976" t="str">
        <f>"9780310856887"</f>
        <v>9780310856887</v>
      </c>
      <c r="U1976" t="b">
        <v>0</v>
      </c>
      <c r="W1976" t="b">
        <v>0</v>
      </c>
    </row>
    <row r="1977" spans="1:23" x14ac:dyDescent="0.3">
      <c r="A1977">
        <v>2980710</v>
      </c>
      <c r="B1977">
        <v>71.03</v>
      </c>
      <c r="C1977" t="s">
        <v>4453</v>
      </c>
      <c r="D1977" t="s">
        <v>4454</v>
      </c>
      <c r="E1977" t="s">
        <v>23</v>
      </c>
      <c r="F1977" t="s">
        <v>44</v>
      </c>
      <c r="G1977">
        <v>2012</v>
      </c>
      <c r="H1977" t="s">
        <v>2329</v>
      </c>
      <c r="K1977" t="s">
        <v>25</v>
      </c>
      <c r="L1977" t="s">
        <v>30</v>
      </c>
      <c r="M1977" t="b">
        <v>1</v>
      </c>
      <c r="N1977" t="s">
        <v>4455</v>
      </c>
      <c r="Q1977" t="b">
        <v>0</v>
      </c>
      <c r="S1977" t="str">
        <f>"9780310336204"</f>
        <v>9780310336204</v>
      </c>
      <c r="T1977" t="str">
        <f>"9780310336235"</f>
        <v>9780310336235</v>
      </c>
      <c r="U1977" t="b">
        <v>0</v>
      </c>
      <c r="W1977" t="b">
        <v>0</v>
      </c>
    </row>
    <row r="1978" spans="1:23" x14ac:dyDescent="0.3">
      <c r="A1978">
        <v>2980709</v>
      </c>
      <c r="B1978">
        <v>35.5</v>
      </c>
      <c r="C1978" t="s">
        <v>4456</v>
      </c>
      <c r="D1978" t="s">
        <v>4457</v>
      </c>
      <c r="E1978" t="s">
        <v>23</v>
      </c>
      <c r="F1978" t="s">
        <v>44</v>
      </c>
      <c r="G1978">
        <v>2009</v>
      </c>
      <c r="H1978" t="s">
        <v>62</v>
      </c>
      <c r="K1978" t="s">
        <v>25</v>
      </c>
      <c r="L1978" t="s">
        <v>30</v>
      </c>
      <c r="M1978" t="b">
        <v>1</v>
      </c>
      <c r="N1978" t="s">
        <v>4458</v>
      </c>
      <c r="Q1978" t="b">
        <v>0</v>
      </c>
      <c r="S1978" t="str">
        <f>"9780310344742"</f>
        <v>9780310344742</v>
      </c>
      <c r="T1978" t="str">
        <f>"9780310868170"</f>
        <v>9780310868170</v>
      </c>
      <c r="U1978" t="b">
        <v>0</v>
      </c>
      <c r="W1978" t="b">
        <v>0</v>
      </c>
    </row>
    <row r="1979" spans="1:23" x14ac:dyDescent="0.3">
      <c r="A1979">
        <v>2980708</v>
      </c>
      <c r="B1979">
        <v>53.27</v>
      </c>
      <c r="C1979" t="s">
        <v>4459</v>
      </c>
      <c r="D1979" t="s">
        <v>4460</v>
      </c>
      <c r="E1979" t="s">
        <v>23</v>
      </c>
      <c r="F1979" t="s">
        <v>44</v>
      </c>
      <c r="G1979">
        <v>2010</v>
      </c>
      <c r="H1979" t="s">
        <v>132</v>
      </c>
      <c r="K1979" t="s">
        <v>25</v>
      </c>
      <c r="L1979" t="s">
        <v>30</v>
      </c>
      <c r="M1979" t="b">
        <v>1</v>
      </c>
      <c r="N1979" t="s">
        <v>4461</v>
      </c>
      <c r="P1979" t="s">
        <v>4462</v>
      </c>
      <c r="Q1979" t="b">
        <v>0</v>
      </c>
      <c r="T1979" t="str">
        <f>"9780310873969"</f>
        <v>9780310873969</v>
      </c>
      <c r="U1979" t="b">
        <v>0</v>
      </c>
      <c r="W1979" t="b">
        <v>0</v>
      </c>
    </row>
    <row r="1980" spans="1:23" x14ac:dyDescent="0.3">
      <c r="A1980">
        <v>2980707</v>
      </c>
      <c r="B1980">
        <v>58.62</v>
      </c>
      <c r="C1980" t="s">
        <v>4463</v>
      </c>
      <c r="D1980" t="s">
        <v>4464</v>
      </c>
      <c r="E1980" t="s">
        <v>23</v>
      </c>
      <c r="F1980" t="s">
        <v>44</v>
      </c>
      <c r="G1980">
        <v>2015</v>
      </c>
      <c r="H1980" t="s">
        <v>99</v>
      </c>
      <c r="K1980" t="s">
        <v>25</v>
      </c>
      <c r="L1980" t="s">
        <v>26</v>
      </c>
      <c r="M1980" t="b">
        <v>1</v>
      </c>
      <c r="N1980" t="s">
        <v>2509</v>
      </c>
      <c r="Q1980" t="b">
        <v>0</v>
      </c>
      <c r="S1980" t="str">
        <f>"9780310342533"</f>
        <v>9780310342533</v>
      </c>
      <c r="T1980" t="str">
        <f>"9780310343554"</f>
        <v>9780310343554</v>
      </c>
      <c r="U1980" t="b">
        <v>0</v>
      </c>
      <c r="W1980" t="b">
        <v>0</v>
      </c>
    </row>
    <row r="1981" spans="1:23" x14ac:dyDescent="0.3">
      <c r="A1981">
        <v>2980706</v>
      </c>
      <c r="B1981">
        <v>17.22</v>
      </c>
      <c r="C1981" t="s">
        <v>242</v>
      </c>
      <c r="D1981" t="s">
        <v>93</v>
      </c>
      <c r="E1981" t="s">
        <v>23</v>
      </c>
      <c r="F1981" t="s">
        <v>44</v>
      </c>
      <c r="G1981">
        <v>2009</v>
      </c>
      <c r="H1981" t="s">
        <v>144</v>
      </c>
      <c r="K1981" t="s">
        <v>25</v>
      </c>
      <c r="L1981" t="s">
        <v>30</v>
      </c>
      <c r="M1981" t="b">
        <v>1</v>
      </c>
      <c r="N1981" t="s">
        <v>1417</v>
      </c>
      <c r="P1981" t="s">
        <v>1706</v>
      </c>
      <c r="Q1981" t="b">
        <v>0</v>
      </c>
      <c r="S1981" t="str">
        <f>"9780310716228"</f>
        <v>9780310716228</v>
      </c>
      <c r="T1981" t="str">
        <f>"9780310862451"</f>
        <v>9780310862451</v>
      </c>
      <c r="U1981" t="b">
        <v>0</v>
      </c>
      <c r="W1981" t="b">
        <v>0</v>
      </c>
    </row>
    <row r="1982" spans="1:23" x14ac:dyDescent="0.3">
      <c r="A1982">
        <v>2980705</v>
      </c>
      <c r="B1982">
        <v>62.07</v>
      </c>
      <c r="C1982" t="s">
        <v>4465</v>
      </c>
      <c r="D1982" t="s">
        <v>4466</v>
      </c>
      <c r="E1982" t="s">
        <v>23</v>
      </c>
      <c r="F1982" t="s">
        <v>44</v>
      </c>
      <c r="G1982">
        <v>2010</v>
      </c>
      <c r="H1982" t="s">
        <v>132</v>
      </c>
      <c r="K1982" t="s">
        <v>25</v>
      </c>
      <c r="L1982" t="s">
        <v>30</v>
      </c>
      <c r="M1982" t="b">
        <v>1</v>
      </c>
      <c r="N1982" t="s">
        <v>4467</v>
      </c>
      <c r="Q1982" t="b">
        <v>0</v>
      </c>
      <c r="S1982" t="str">
        <f>"9780310238447"</f>
        <v>9780310238447</v>
      </c>
      <c r="T1982" t="str">
        <f>"9780310873105"</f>
        <v>9780310873105</v>
      </c>
      <c r="U1982" t="b">
        <v>0</v>
      </c>
      <c r="W1982" t="b">
        <v>0</v>
      </c>
    </row>
    <row r="1983" spans="1:23" x14ac:dyDescent="0.3">
      <c r="A1983">
        <v>2980704</v>
      </c>
      <c r="B1983">
        <v>58.62</v>
      </c>
      <c r="C1983" t="s">
        <v>4468</v>
      </c>
      <c r="D1983" t="s">
        <v>4469</v>
      </c>
      <c r="E1983" t="s">
        <v>23</v>
      </c>
      <c r="F1983" t="s">
        <v>44</v>
      </c>
      <c r="G1983">
        <v>2011</v>
      </c>
      <c r="H1983" t="s">
        <v>99</v>
      </c>
      <c r="K1983" t="s">
        <v>25</v>
      </c>
      <c r="L1983" t="s">
        <v>30</v>
      </c>
      <c r="M1983" t="b">
        <v>1</v>
      </c>
      <c r="N1983" t="s">
        <v>4470</v>
      </c>
      <c r="Q1983" t="b">
        <v>0</v>
      </c>
      <c r="S1983" t="str">
        <f>"9780310238829"</f>
        <v>9780310238829</v>
      </c>
      <c r="T1983" t="str">
        <f>"9780310864721"</f>
        <v>9780310864721</v>
      </c>
      <c r="U1983" t="b">
        <v>0</v>
      </c>
      <c r="W1983" t="b">
        <v>0</v>
      </c>
    </row>
    <row r="1984" spans="1:23" x14ac:dyDescent="0.3">
      <c r="A1984">
        <v>2980703</v>
      </c>
      <c r="B1984">
        <v>79.319999999999993</v>
      </c>
      <c r="C1984" t="s">
        <v>4471</v>
      </c>
      <c r="D1984" t="s">
        <v>4472</v>
      </c>
      <c r="E1984" t="s">
        <v>23</v>
      </c>
      <c r="F1984" t="s">
        <v>44</v>
      </c>
      <c r="G1984">
        <v>2009</v>
      </c>
      <c r="H1984" t="s">
        <v>912</v>
      </c>
      <c r="K1984" t="s">
        <v>25</v>
      </c>
      <c r="L1984" t="s">
        <v>30</v>
      </c>
      <c r="M1984" t="b">
        <v>1</v>
      </c>
      <c r="N1984" t="s">
        <v>2778</v>
      </c>
      <c r="Q1984" t="b">
        <v>0</v>
      </c>
      <c r="S1984" t="str">
        <f>"9780310240082"</f>
        <v>9780310240082</v>
      </c>
      <c r="T1984" t="str">
        <f>"9780310565802"</f>
        <v>9780310565802</v>
      </c>
      <c r="U1984" t="b">
        <v>0</v>
      </c>
      <c r="W1984" t="b">
        <v>0</v>
      </c>
    </row>
    <row r="1985" spans="1:23" x14ac:dyDescent="0.3">
      <c r="A1985">
        <v>2980702</v>
      </c>
      <c r="B1985">
        <v>49.71</v>
      </c>
      <c r="C1985" t="s">
        <v>4473</v>
      </c>
      <c r="D1985" t="s">
        <v>4474</v>
      </c>
      <c r="E1985" t="s">
        <v>23</v>
      </c>
      <c r="F1985" t="s">
        <v>44</v>
      </c>
      <c r="G1985">
        <v>2011</v>
      </c>
      <c r="H1985" t="s">
        <v>58</v>
      </c>
      <c r="K1985" t="s">
        <v>25</v>
      </c>
      <c r="L1985" t="s">
        <v>30</v>
      </c>
      <c r="M1985" t="b">
        <v>1</v>
      </c>
      <c r="N1985" t="s">
        <v>4475</v>
      </c>
      <c r="Q1985" t="b">
        <v>0</v>
      </c>
      <c r="T1985" t="str">
        <f>"9780310587170"</f>
        <v>9780310587170</v>
      </c>
      <c r="U1985" t="b">
        <v>0</v>
      </c>
      <c r="W1985" t="b">
        <v>0</v>
      </c>
    </row>
    <row r="1986" spans="1:23" x14ac:dyDescent="0.3">
      <c r="A1986">
        <v>2980701</v>
      </c>
      <c r="B1986">
        <v>58.62</v>
      </c>
      <c r="C1986" t="s">
        <v>4476</v>
      </c>
      <c r="D1986" t="s">
        <v>4477</v>
      </c>
      <c r="E1986" t="s">
        <v>23</v>
      </c>
      <c r="F1986" t="s">
        <v>44</v>
      </c>
      <c r="G1986">
        <v>2017</v>
      </c>
      <c r="H1986" t="s">
        <v>99</v>
      </c>
      <c r="K1986" t="s">
        <v>25</v>
      </c>
      <c r="L1986" t="s">
        <v>26</v>
      </c>
      <c r="M1986" t="b">
        <v>1</v>
      </c>
      <c r="N1986" t="s">
        <v>4478</v>
      </c>
      <c r="Q1986" t="b">
        <v>0</v>
      </c>
      <c r="S1986" t="str">
        <f>"9780310346579"</f>
        <v>9780310346579</v>
      </c>
      <c r="T1986" t="str">
        <f>"9780310348245"</f>
        <v>9780310348245</v>
      </c>
      <c r="U1986" t="b">
        <v>0</v>
      </c>
      <c r="W1986" t="b">
        <v>0</v>
      </c>
    </row>
    <row r="1987" spans="1:23" x14ac:dyDescent="0.3">
      <c r="A1987">
        <v>2980700</v>
      </c>
      <c r="B1987">
        <v>42.61</v>
      </c>
      <c r="C1987" t="s">
        <v>4479</v>
      </c>
      <c r="E1987" t="s">
        <v>23</v>
      </c>
      <c r="F1987" t="s">
        <v>44</v>
      </c>
      <c r="G1987">
        <v>2009</v>
      </c>
      <c r="H1987" t="s">
        <v>58</v>
      </c>
      <c r="K1987" t="s">
        <v>25</v>
      </c>
      <c r="L1987" t="s">
        <v>30</v>
      </c>
      <c r="M1987" t="b">
        <v>1</v>
      </c>
      <c r="N1987" t="s">
        <v>4480</v>
      </c>
      <c r="Q1987" t="b">
        <v>0</v>
      </c>
      <c r="T1987" t="str">
        <f>"9780310833987"</f>
        <v>9780310833987</v>
      </c>
      <c r="U1987" t="b">
        <v>0</v>
      </c>
      <c r="W1987" t="b">
        <v>0</v>
      </c>
    </row>
    <row r="1988" spans="1:23" x14ac:dyDescent="0.3">
      <c r="A1988">
        <v>2980699</v>
      </c>
      <c r="B1988">
        <v>27.57</v>
      </c>
      <c r="C1988" t="s">
        <v>4481</v>
      </c>
      <c r="D1988" t="s">
        <v>4482</v>
      </c>
      <c r="E1988" t="s">
        <v>23</v>
      </c>
      <c r="F1988" t="s">
        <v>44</v>
      </c>
      <c r="G1988">
        <v>2018</v>
      </c>
      <c r="H1988" t="s">
        <v>728</v>
      </c>
      <c r="K1988" t="s">
        <v>25</v>
      </c>
      <c r="L1988" t="s">
        <v>26</v>
      </c>
      <c r="M1988" t="b">
        <v>1</v>
      </c>
      <c r="N1988" t="s">
        <v>44</v>
      </c>
      <c r="Q1988" t="b">
        <v>1</v>
      </c>
      <c r="S1988" t="str">
        <f>"9780785217237"</f>
        <v>9780785217237</v>
      </c>
      <c r="T1988" t="str">
        <f>"9780785219675"</f>
        <v>9780785219675</v>
      </c>
      <c r="U1988" t="b">
        <v>0</v>
      </c>
      <c r="W1988" t="b">
        <v>0</v>
      </c>
    </row>
    <row r="1989" spans="1:23" x14ac:dyDescent="0.3">
      <c r="A1989">
        <v>2980698</v>
      </c>
      <c r="B1989">
        <v>58.62</v>
      </c>
      <c r="C1989" t="s">
        <v>4483</v>
      </c>
      <c r="D1989" t="s">
        <v>4484</v>
      </c>
      <c r="E1989" t="s">
        <v>23</v>
      </c>
      <c r="F1989" t="s">
        <v>44</v>
      </c>
      <c r="G1989">
        <v>2017</v>
      </c>
      <c r="H1989" t="s">
        <v>58</v>
      </c>
      <c r="I1989" t="s">
        <v>4485</v>
      </c>
      <c r="J1989" t="s">
        <v>4486</v>
      </c>
      <c r="K1989" t="s">
        <v>25</v>
      </c>
      <c r="L1989" t="s">
        <v>26</v>
      </c>
      <c r="M1989" t="b">
        <v>1</v>
      </c>
      <c r="N1989" t="s">
        <v>4487</v>
      </c>
      <c r="O1989" t="str">
        <f>"158.1"</f>
        <v>158.1</v>
      </c>
      <c r="Q1989" t="b">
        <v>0</v>
      </c>
      <c r="S1989" t="str">
        <f>"9780310345169"</f>
        <v>9780310345169</v>
      </c>
      <c r="T1989" t="str">
        <f>"9780310345176"</f>
        <v>9780310345176</v>
      </c>
      <c r="U1989" t="b">
        <v>0</v>
      </c>
      <c r="W1989" t="b">
        <v>0</v>
      </c>
    </row>
    <row r="1990" spans="1:23" x14ac:dyDescent="0.3">
      <c r="A1990">
        <v>2980697</v>
      </c>
      <c r="B1990">
        <v>58.62</v>
      </c>
      <c r="C1990" t="s">
        <v>4488</v>
      </c>
      <c r="D1990" t="s">
        <v>4489</v>
      </c>
      <c r="E1990" t="s">
        <v>23</v>
      </c>
      <c r="F1990" t="s">
        <v>44</v>
      </c>
      <c r="G1990">
        <v>2016</v>
      </c>
      <c r="H1990" t="s">
        <v>58</v>
      </c>
      <c r="K1990" t="s">
        <v>25</v>
      </c>
      <c r="L1990" t="s">
        <v>26</v>
      </c>
      <c r="M1990" t="b">
        <v>1</v>
      </c>
      <c r="N1990" t="s">
        <v>3841</v>
      </c>
      <c r="Q1990" t="b">
        <v>0</v>
      </c>
      <c r="S1990" t="str">
        <f>"9780310347972"</f>
        <v>9780310347972</v>
      </c>
      <c r="T1990" t="str">
        <f>"9780310347989"</f>
        <v>9780310347989</v>
      </c>
      <c r="U1990" t="b">
        <v>0</v>
      </c>
      <c r="W1990" t="b">
        <v>0</v>
      </c>
    </row>
    <row r="1991" spans="1:23" x14ac:dyDescent="0.3">
      <c r="A1991">
        <v>2980696</v>
      </c>
      <c r="B1991">
        <v>58.62</v>
      </c>
      <c r="C1991" t="s">
        <v>4490</v>
      </c>
      <c r="D1991" t="s">
        <v>4491</v>
      </c>
      <c r="E1991" t="s">
        <v>23</v>
      </c>
      <c r="F1991" t="s">
        <v>44</v>
      </c>
      <c r="G1991">
        <v>2016</v>
      </c>
      <c r="H1991" t="s">
        <v>62</v>
      </c>
      <c r="K1991" t="s">
        <v>25</v>
      </c>
      <c r="L1991" t="s">
        <v>26</v>
      </c>
      <c r="M1991" t="b">
        <v>1</v>
      </c>
      <c r="N1991" t="s">
        <v>403</v>
      </c>
      <c r="Q1991" t="b">
        <v>0</v>
      </c>
      <c r="S1991" t="str">
        <f>"9780310337690"</f>
        <v>9780310337690</v>
      </c>
      <c r="T1991" t="str">
        <f>"9780310337744"</f>
        <v>9780310337744</v>
      </c>
      <c r="U1991" t="b">
        <v>0</v>
      </c>
      <c r="W1991" t="b">
        <v>0</v>
      </c>
    </row>
    <row r="1992" spans="1:23" x14ac:dyDescent="0.3">
      <c r="A1992">
        <v>2980695</v>
      </c>
      <c r="B1992">
        <v>51.72</v>
      </c>
      <c r="C1992" t="s">
        <v>4492</v>
      </c>
      <c r="D1992" t="s">
        <v>1405</v>
      </c>
      <c r="E1992" t="s">
        <v>23</v>
      </c>
      <c r="F1992" t="s">
        <v>44</v>
      </c>
      <c r="G1992">
        <v>2012</v>
      </c>
      <c r="H1992" t="s">
        <v>74</v>
      </c>
      <c r="K1992" t="s">
        <v>25</v>
      </c>
      <c r="L1992" t="s">
        <v>30</v>
      </c>
      <c r="M1992" t="b">
        <v>1</v>
      </c>
      <c r="N1992" t="s">
        <v>4493</v>
      </c>
      <c r="P1992" t="s">
        <v>4494</v>
      </c>
      <c r="Q1992" t="b">
        <v>1</v>
      </c>
      <c r="S1992" t="str">
        <f>"9780310333982"</f>
        <v>9780310333982</v>
      </c>
      <c r="T1992" t="str">
        <f>"9780310333999"</f>
        <v>9780310333999</v>
      </c>
      <c r="U1992" t="b">
        <v>0</v>
      </c>
      <c r="W1992" t="b">
        <v>0</v>
      </c>
    </row>
    <row r="1993" spans="1:23" x14ac:dyDescent="0.3">
      <c r="A1993">
        <v>2980694</v>
      </c>
      <c r="B1993">
        <v>39.049999999999997</v>
      </c>
      <c r="C1993" t="s">
        <v>4495</v>
      </c>
      <c r="D1993" t="s">
        <v>4496</v>
      </c>
      <c r="E1993" t="s">
        <v>23</v>
      </c>
      <c r="F1993" t="s">
        <v>44</v>
      </c>
      <c r="G1993">
        <v>2010</v>
      </c>
      <c r="H1993" t="s">
        <v>58</v>
      </c>
      <c r="K1993" t="s">
        <v>25</v>
      </c>
      <c r="L1993" t="s">
        <v>30</v>
      </c>
      <c r="M1993" t="b">
        <v>1</v>
      </c>
      <c r="N1993" t="s">
        <v>4493</v>
      </c>
      <c r="Q1993" t="b">
        <v>0</v>
      </c>
      <c r="S1993" t="str">
        <f>"9780310292715"</f>
        <v>9780310292715</v>
      </c>
      <c r="T1993" t="str">
        <f>"9780310565161"</f>
        <v>9780310565161</v>
      </c>
      <c r="U1993" t="b">
        <v>0</v>
      </c>
      <c r="W1993" t="b">
        <v>0</v>
      </c>
    </row>
    <row r="1994" spans="1:23" x14ac:dyDescent="0.3">
      <c r="A1994">
        <v>2980693</v>
      </c>
      <c r="B1994">
        <v>55.17</v>
      </c>
      <c r="C1994" t="s">
        <v>4497</v>
      </c>
      <c r="D1994" t="s">
        <v>4498</v>
      </c>
      <c r="E1994" t="s">
        <v>23</v>
      </c>
      <c r="F1994" t="s">
        <v>44</v>
      </c>
      <c r="G1994">
        <v>2015</v>
      </c>
      <c r="H1994" t="s">
        <v>1213</v>
      </c>
      <c r="K1994" t="s">
        <v>25</v>
      </c>
      <c r="L1994" t="s">
        <v>26</v>
      </c>
      <c r="M1994" t="b">
        <v>1</v>
      </c>
      <c r="N1994" t="s">
        <v>4499</v>
      </c>
      <c r="Q1994" t="b">
        <v>0</v>
      </c>
      <c r="S1994" t="str">
        <f>"9780310337423"</f>
        <v>9780310337423</v>
      </c>
      <c r="T1994" t="str">
        <f>"9780310337430"</f>
        <v>9780310337430</v>
      </c>
      <c r="U1994" t="b">
        <v>0</v>
      </c>
      <c r="W1994" t="b">
        <v>0</v>
      </c>
    </row>
    <row r="1995" spans="1:23" x14ac:dyDescent="0.3">
      <c r="A1995">
        <v>2980692</v>
      </c>
      <c r="B1995">
        <v>88.8</v>
      </c>
      <c r="C1995" t="s">
        <v>4500</v>
      </c>
      <c r="D1995" t="s">
        <v>4501</v>
      </c>
      <c r="E1995" t="s">
        <v>23</v>
      </c>
      <c r="F1995" t="s">
        <v>44</v>
      </c>
      <c r="G1995">
        <v>2016</v>
      </c>
      <c r="H1995" t="s">
        <v>2535</v>
      </c>
      <c r="K1995" t="s">
        <v>25</v>
      </c>
      <c r="L1995" t="s">
        <v>30</v>
      </c>
      <c r="M1995" t="b">
        <v>1</v>
      </c>
      <c r="N1995" t="s">
        <v>4502</v>
      </c>
      <c r="P1995" t="s">
        <v>4503</v>
      </c>
      <c r="Q1995" t="b">
        <v>1</v>
      </c>
      <c r="T1995" t="str">
        <f>"9780718076627"</f>
        <v>9780718076627</v>
      </c>
      <c r="U1995" t="b">
        <v>0</v>
      </c>
      <c r="W1995" t="b">
        <v>0</v>
      </c>
    </row>
    <row r="1996" spans="1:23" x14ac:dyDescent="0.3">
      <c r="A1996">
        <v>2980691</v>
      </c>
      <c r="B1996">
        <v>49.71</v>
      </c>
      <c r="C1996" t="s">
        <v>4504</v>
      </c>
      <c r="D1996" t="s">
        <v>4505</v>
      </c>
      <c r="E1996" t="s">
        <v>23</v>
      </c>
      <c r="F1996" t="s">
        <v>44</v>
      </c>
      <c r="G1996">
        <v>2017</v>
      </c>
      <c r="H1996" t="s">
        <v>132</v>
      </c>
      <c r="K1996" t="s">
        <v>25</v>
      </c>
      <c r="L1996" t="s">
        <v>26</v>
      </c>
      <c r="M1996" t="b">
        <v>1</v>
      </c>
      <c r="N1996" t="s">
        <v>44</v>
      </c>
      <c r="P1996" t="s">
        <v>2241</v>
      </c>
      <c r="Q1996" t="b">
        <v>0</v>
      </c>
      <c r="T1996" t="str">
        <f>"9780718086619"</f>
        <v>9780718086619</v>
      </c>
      <c r="U1996" t="b">
        <v>0</v>
      </c>
      <c r="W1996" t="b">
        <v>0</v>
      </c>
    </row>
    <row r="1997" spans="1:23" x14ac:dyDescent="0.3">
      <c r="A1997">
        <v>2980690</v>
      </c>
      <c r="B1997">
        <v>58.62</v>
      </c>
      <c r="C1997" t="s">
        <v>4506</v>
      </c>
      <c r="D1997" t="s">
        <v>4507</v>
      </c>
      <c r="E1997" t="s">
        <v>23</v>
      </c>
      <c r="F1997" t="s">
        <v>44</v>
      </c>
      <c r="G1997">
        <v>2009</v>
      </c>
      <c r="H1997" t="s">
        <v>99</v>
      </c>
      <c r="K1997" t="s">
        <v>25</v>
      </c>
      <c r="L1997" t="s">
        <v>30</v>
      </c>
      <c r="M1997" t="b">
        <v>1</v>
      </c>
      <c r="N1997" t="s">
        <v>4508</v>
      </c>
      <c r="Q1997" t="b">
        <v>0</v>
      </c>
      <c r="S1997" t="str">
        <f>"9780310343363"</f>
        <v>9780310343363</v>
      </c>
      <c r="T1997" t="str">
        <f>"9780310860488"</f>
        <v>9780310860488</v>
      </c>
      <c r="U1997" t="b">
        <v>0</v>
      </c>
      <c r="W1997" t="b">
        <v>0</v>
      </c>
    </row>
    <row r="1998" spans="1:23" x14ac:dyDescent="0.3">
      <c r="A1998">
        <v>2980689</v>
      </c>
      <c r="B1998">
        <v>55.17</v>
      </c>
      <c r="C1998" t="s">
        <v>4509</v>
      </c>
      <c r="D1998" t="s">
        <v>4510</v>
      </c>
      <c r="E1998" t="s">
        <v>23</v>
      </c>
      <c r="F1998" t="s">
        <v>44</v>
      </c>
      <c r="G1998">
        <v>2010</v>
      </c>
      <c r="H1998" t="s">
        <v>99</v>
      </c>
      <c r="K1998" t="s">
        <v>25</v>
      </c>
      <c r="L1998" t="s">
        <v>30</v>
      </c>
      <c r="M1998" t="b">
        <v>1</v>
      </c>
      <c r="N1998" t="s">
        <v>4075</v>
      </c>
      <c r="Q1998" t="b">
        <v>0</v>
      </c>
      <c r="S1998" t="str">
        <f>"9780310329220"</f>
        <v>9780310329220</v>
      </c>
      <c r="T1998" t="str">
        <f>"9780310589877"</f>
        <v>9780310589877</v>
      </c>
      <c r="U1998" t="b">
        <v>0</v>
      </c>
      <c r="W1998" t="b">
        <v>0</v>
      </c>
    </row>
    <row r="1999" spans="1:23" x14ac:dyDescent="0.3">
      <c r="A1999">
        <v>2980688</v>
      </c>
      <c r="B1999">
        <v>89.67</v>
      </c>
      <c r="C1999" t="s">
        <v>4511</v>
      </c>
      <c r="D1999" t="s">
        <v>4512</v>
      </c>
      <c r="E1999" t="s">
        <v>23</v>
      </c>
      <c r="F1999" t="s">
        <v>44</v>
      </c>
      <c r="G1999">
        <v>2021</v>
      </c>
      <c r="H1999" t="s">
        <v>1080</v>
      </c>
      <c r="K1999" t="s">
        <v>25</v>
      </c>
      <c r="L1999" t="s">
        <v>26</v>
      </c>
      <c r="M1999" t="b">
        <v>1</v>
      </c>
      <c r="N1999" t="s">
        <v>4513</v>
      </c>
      <c r="Q1999" t="b">
        <v>0</v>
      </c>
      <c r="S1999" t="str">
        <f>"9780310362173"</f>
        <v>9780310362173</v>
      </c>
      <c r="T1999" t="str">
        <f>"9780310362234"</f>
        <v>9780310362234</v>
      </c>
      <c r="U1999" t="b">
        <v>0</v>
      </c>
      <c r="W1999" t="b">
        <v>0</v>
      </c>
    </row>
    <row r="2000" spans="1:23" x14ac:dyDescent="0.3">
      <c r="A2000">
        <v>2980687</v>
      </c>
      <c r="B2000">
        <v>10.32</v>
      </c>
      <c r="C2000" t="s">
        <v>4514</v>
      </c>
      <c r="E2000" t="s">
        <v>23</v>
      </c>
      <c r="F2000" t="s">
        <v>44</v>
      </c>
      <c r="G2000">
        <v>2019</v>
      </c>
      <c r="H2000" t="s">
        <v>58</v>
      </c>
      <c r="K2000" t="s">
        <v>25</v>
      </c>
      <c r="L2000" t="s">
        <v>26</v>
      </c>
      <c r="M2000" t="b">
        <v>1</v>
      </c>
      <c r="N2000" t="s">
        <v>2721</v>
      </c>
      <c r="Q2000" t="b">
        <v>0</v>
      </c>
      <c r="S2000" t="str">
        <f>"9780310356653"</f>
        <v>9780310356653</v>
      </c>
      <c r="T2000" t="str">
        <f>"9780310356660"</f>
        <v>9780310356660</v>
      </c>
      <c r="U2000" t="b">
        <v>0</v>
      </c>
      <c r="W2000" t="b">
        <v>0</v>
      </c>
    </row>
    <row r="2001" spans="1:23" x14ac:dyDescent="0.3">
      <c r="A2001">
        <v>2980686</v>
      </c>
      <c r="B2001">
        <v>68.97</v>
      </c>
      <c r="C2001" t="s">
        <v>4515</v>
      </c>
      <c r="D2001" t="s">
        <v>4516</v>
      </c>
      <c r="E2001" t="s">
        <v>23</v>
      </c>
      <c r="F2001" t="s">
        <v>44</v>
      </c>
      <c r="G2001">
        <v>2020</v>
      </c>
      <c r="H2001" t="s">
        <v>381</v>
      </c>
      <c r="K2001" t="s">
        <v>25</v>
      </c>
      <c r="L2001" t="s">
        <v>26</v>
      </c>
      <c r="M2001" t="b">
        <v>1</v>
      </c>
      <c r="N2001" t="s">
        <v>1091</v>
      </c>
      <c r="Q2001" t="b">
        <v>0</v>
      </c>
      <c r="S2001" t="str">
        <f>"9780310361879"</f>
        <v>9780310361879</v>
      </c>
      <c r="T2001" t="str">
        <f>"9780310361886"</f>
        <v>9780310361886</v>
      </c>
      <c r="U2001" t="b">
        <v>0</v>
      </c>
      <c r="W2001" t="b">
        <v>0</v>
      </c>
    </row>
    <row r="2002" spans="1:23" x14ac:dyDescent="0.3">
      <c r="A2002">
        <v>2980685</v>
      </c>
      <c r="B2002">
        <v>44.82</v>
      </c>
      <c r="C2002" t="s">
        <v>4517</v>
      </c>
      <c r="E2002" t="s">
        <v>23</v>
      </c>
      <c r="F2002" t="s">
        <v>44</v>
      </c>
      <c r="G2002">
        <v>2009</v>
      </c>
      <c r="H2002" t="s">
        <v>728</v>
      </c>
      <c r="K2002" t="s">
        <v>25</v>
      </c>
      <c r="L2002" t="s">
        <v>30</v>
      </c>
      <c r="M2002" t="b">
        <v>1</v>
      </c>
      <c r="N2002" t="s">
        <v>3066</v>
      </c>
      <c r="P2002" t="s">
        <v>3412</v>
      </c>
      <c r="Q2002" t="b">
        <v>1</v>
      </c>
      <c r="S2002" t="str">
        <f>"9780310671619"</f>
        <v>9780310671619</v>
      </c>
      <c r="T2002" t="str">
        <f>"9780310865506"</f>
        <v>9780310865506</v>
      </c>
      <c r="U2002" t="b">
        <v>0</v>
      </c>
      <c r="W2002" t="b">
        <v>0</v>
      </c>
    </row>
    <row r="2003" spans="1:23" x14ac:dyDescent="0.3">
      <c r="A2003">
        <v>2980684</v>
      </c>
      <c r="B2003">
        <v>49.71</v>
      </c>
      <c r="C2003" t="s">
        <v>4518</v>
      </c>
      <c r="D2003" t="s">
        <v>4519</v>
      </c>
      <c r="E2003" t="s">
        <v>23</v>
      </c>
      <c r="F2003" t="s">
        <v>44</v>
      </c>
      <c r="G2003">
        <v>2016</v>
      </c>
      <c r="H2003" t="s">
        <v>132</v>
      </c>
      <c r="K2003" t="s">
        <v>25</v>
      </c>
      <c r="L2003" t="s">
        <v>26</v>
      </c>
      <c r="M2003" t="b">
        <v>1</v>
      </c>
      <c r="N2003" t="s">
        <v>2825</v>
      </c>
      <c r="Q2003" t="b">
        <v>0</v>
      </c>
      <c r="S2003" t="str">
        <f>"9780310359401"</f>
        <v>9780310359401</v>
      </c>
      <c r="T2003" t="str">
        <f>"9780310357056"</f>
        <v>9780310357056</v>
      </c>
      <c r="U2003" t="b">
        <v>0</v>
      </c>
      <c r="W2003" t="b">
        <v>0</v>
      </c>
    </row>
    <row r="2004" spans="1:23" x14ac:dyDescent="0.3">
      <c r="A2004">
        <v>2980683</v>
      </c>
      <c r="B2004">
        <v>39.049999999999997</v>
      </c>
      <c r="C2004" t="s">
        <v>4520</v>
      </c>
      <c r="E2004" t="s">
        <v>23</v>
      </c>
      <c r="F2004" t="s">
        <v>44</v>
      </c>
      <c r="G2004">
        <v>2009</v>
      </c>
      <c r="H2004" t="s">
        <v>2746</v>
      </c>
      <c r="K2004" t="s">
        <v>25</v>
      </c>
      <c r="L2004" t="s">
        <v>30</v>
      </c>
      <c r="M2004" t="b">
        <v>1</v>
      </c>
      <c r="N2004" t="s">
        <v>2747</v>
      </c>
      <c r="P2004" t="s">
        <v>2748</v>
      </c>
      <c r="Q2004" t="b">
        <v>1</v>
      </c>
      <c r="T2004" t="str">
        <f>"9780310864592"</f>
        <v>9780310864592</v>
      </c>
      <c r="U2004" t="b">
        <v>0</v>
      </c>
      <c r="W2004" t="b">
        <v>0</v>
      </c>
    </row>
    <row r="2005" spans="1:23" x14ac:dyDescent="0.3">
      <c r="A2005">
        <v>2980682</v>
      </c>
      <c r="B2005">
        <v>55.17</v>
      </c>
      <c r="C2005" t="s">
        <v>4521</v>
      </c>
      <c r="E2005" t="s">
        <v>23</v>
      </c>
      <c r="F2005" t="s">
        <v>44</v>
      </c>
      <c r="G2005">
        <v>2009</v>
      </c>
      <c r="H2005" t="s">
        <v>74</v>
      </c>
      <c r="K2005" t="s">
        <v>25</v>
      </c>
      <c r="L2005" t="s">
        <v>30</v>
      </c>
      <c r="M2005" t="b">
        <v>1</v>
      </c>
      <c r="N2005" t="s">
        <v>31</v>
      </c>
      <c r="P2005" t="s">
        <v>4070</v>
      </c>
      <c r="Q2005" t="b">
        <v>1</v>
      </c>
      <c r="S2005" t="str">
        <f>"9780310342649"</f>
        <v>9780310342649</v>
      </c>
      <c r="T2005" t="str">
        <f>"9780310322153"</f>
        <v>9780310322153</v>
      </c>
      <c r="U2005" t="b">
        <v>0</v>
      </c>
      <c r="W2005" t="b">
        <v>0</v>
      </c>
    </row>
    <row r="2006" spans="1:23" x14ac:dyDescent="0.3">
      <c r="A2006">
        <v>2980681</v>
      </c>
      <c r="B2006">
        <v>55.17</v>
      </c>
      <c r="C2006" t="s">
        <v>4522</v>
      </c>
      <c r="E2006" t="s">
        <v>23</v>
      </c>
      <c r="F2006" t="s">
        <v>44</v>
      </c>
      <c r="G2006">
        <v>2014</v>
      </c>
      <c r="H2006" t="s">
        <v>772</v>
      </c>
      <c r="K2006" t="s">
        <v>25</v>
      </c>
      <c r="L2006" t="s">
        <v>30</v>
      </c>
      <c r="M2006" t="b">
        <v>1</v>
      </c>
      <c r="N2006" t="s">
        <v>962</v>
      </c>
      <c r="P2006" t="s">
        <v>3811</v>
      </c>
      <c r="Q2006" t="b">
        <v>1</v>
      </c>
      <c r="S2006" t="str">
        <f>"9780310326168"</f>
        <v>9780310326168</v>
      </c>
      <c r="T2006" t="str">
        <f>"9780310325802"</f>
        <v>9780310325802</v>
      </c>
      <c r="U2006" t="b">
        <v>0</v>
      </c>
      <c r="W2006" t="b">
        <v>0</v>
      </c>
    </row>
    <row r="2007" spans="1:23" x14ac:dyDescent="0.3">
      <c r="A2007">
        <v>2980680</v>
      </c>
      <c r="B2007">
        <v>44.82</v>
      </c>
      <c r="C2007" t="s">
        <v>4523</v>
      </c>
      <c r="E2007" t="s">
        <v>23</v>
      </c>
      <c r="F2007" t="s">
        <v>44</v>
      </c>
      <c r="G2007">
        <v>2014</v>
      </c>
      <c r="H2007" t="s">
        <v>24</v>
      </c>
      <c r="K2007" t="s">
        <v>25</v>
      </c>
      <c r="L2007" t="s">
        <v>30</v>
      </c>
      <c r="M2007" t="b">
        <v>1</v>
      </c>
      <c r="N2007" t="s">
        <v>4524</v>
      </c>
      <c r="Q2007" t="b">
        <v>0</v>
      </c>
      <c r="S2007" t="str">
        <f>"9780310337621"</f>
        <v>9780310337621</v>
      </c>
      <c r="T2007" t="str">
        <f>"9780310337683"</f>
        <v>9780310337683</v>
      </c>
      <c r="U2007" t="b">
        <v>0</v>
      </c>
      <c r="W2007" t="b">
        <v>0</v>
      </c>
    </row>
    <row r="2008" spans="1:23" x14ac:dyDescent="0.3">
      <c r="A2008">
        <v>2980679</v>
      </c>
      <c r="B2008">
        <v>81.7</v>
      </c>
      <c r="C2008" t="s">
        <v>4525</v>
      </c>
      <c r="D2008" t="s">
        <v>4526</v>
      </c>
      <c r="E2008" t="s">
        <v>23</v>
      </c>
      <c r="F2008" t="s">
        <v>44</v>
      </c>
      <c r="G2008">
        <v>2018</v>
      </c>
      <c r="H2008" t="s">
        <v>728</v>
      </c>
      <c r="K2008" t="s">
        <v>25</v>
      </c>
      <c r="L2008" t="s">
        <v>30</v>
      </c>
      <c r="M2008" t="b">
        <v>1</v>
      </c>
      <c r="N2008" t="s">
        <v>4527</v>
      </c>
      <c r="P2008" t="s">
        <v>4528</v>
      </c>
      <c r="Q2008" t="b">
        <v>1</v>
      </c>
      <c r="T2008" t="str">
        <f>"9780310349044"</f>
        <v>9780310349044</v>
      </c>
      <c r="U2008" t="b">
        <v>0</v>
      </c>
      <c r="W2008" t="b">
        <v>0</v>
      </c>
    </row>
    <row r="2009" spans="1:23" x14ac:dyDescent="0.3">
      <c r="A2009">
        <v>2980678</v>
      </c>
      <c r="B2009">
        <v>58.62</v>
      </c>
      <c r="C2009" t="s">
        <v>4529</v>
      </c>
      <c r="D2009" t="s">
        <v>4530</v>
      </c>
      <c r="E2009" t="s">
        <v>23</v>
      </c>
      <c r="F2009" t="s">
        <v>44</v>
      </c>
      <c r="G2009">
        <v>2016</v>
      </c>
      <c r="H2009" t="s">
        <v>56</v>
      </c>
      <c r="K2009" t="s">
        <v>25</v>
      </c>
      <c r="L2009" t="s">
        <v>26</v>
      </c>
      <c r="M2009" t="b">
        <v>1</v>
      </c>
      <c r="N2009" t="s">
        <v>4531</v>
      </c>
      <c r="Q2009" t="b">
        <v>0</v>
      </c>
      <c r="S2009" t="str">
        <f>"9780310340409"</f>
        <v>9780310340409</v>
      </c>
      <c r="T2009" t="str">
        <f>"9780310340362"</f>
        <v>9780310340362</v>
      </c>
      <c r="U2009" t="b">
        <v>0</v>
      </c>
      <c r="W2009" t="b">
        <v>0</v>
      </c>
    </row>
    <row r="2010" spans="1:23" x14ac:dyDescent="0.3">
      <c r="A2010">
        <v>2980677</v>
      </c>
      <c r="B2010">
        <v>79.319999999999993</v>
      </c>
      <c r="C2010" t="s">
        <v>4532</v>
      </c>
      <c r="D2010" t="s">
        <v>4533</v>
      </c>
      <c r="E2010" t="s">
        <v>23</v>
      </c>
      <c r="F2010" t="s">
        <v>44</v>
      </c>
      <c r="G2010">
        <v>2017</v>
      </c>
      <c r="H2010" t="s">
        <v>69</v>
      </c>
      <c r="K2010" t="s">
        <v>25</v>
      </c>
      <c r="L2010" t="s">
        <v>26</v>
      </c>
      <c r="M2010" t="b">
        <v>1</v>
      </c>
      <c r="N2010" t="s">
        <v>4534</v>
      </c>
      <c r="Q2010" t="b">
        <v>0</v>
      </c>
      <c r="S2010" t="str">
        <f>"9780310335467"</f>
        <v>9780310335467</v>
      </c>
      <c r="T2010" t="str">
        <f>"9780310334163"</f>
        <v>9780310334163</v>
      </c>
      <c r="U2010" t="b">
        <v>0</v>
      </c>
      <c r="W2010" t="b">
        <v>0</v>
      </c>
    </row>
    <row r="2011" spans="1:23" x14ac:dyDescent="0.3">
      <c r="A2011">
        <v>2980676</v>
      </c>
      <c r="B2011">
        <v>55.17</v>
      </c>
      <c r="C2011" t="s">
        <v>4535</v>
      </c>
      <c r="D2011" t="s">
        <v>4536</v>
      </c>
      <c r="E2011" t="s">
        <v>23</v>
      </c>
      <c r="F2011" t="s">
        <v>44</v>
      </c>
      <c r="G2011">
        <v>2011</v>
      </c>
      <c r="H2011" t="s">
        <v>89</v>
      </c>
      <c r="K2011" t="s">
        <v>25</v>
      </c>
      <c r="L2011" t="s">
        <v>30</v>
      </c>
      <c r="M2011" t="b">
        <v>1</v>
      </c>
      <c r="N2011" t="s">
        <v>4537</v>
      </c>
      <c r="Q2011" t="b">
        <v>0</v>
      </c>
      <c r="S2011" t="str">
        <f>"9780310331377"</f>
        <v>9780310331377</v>
      </c>
      <c r="T2011" t="str">
        <f>"9780310426585"</f>
        <v>9780310426585</v>
      </c>
      <c r="U2011" t="b">
        <v>0</v>
      </c>
      <c r="W2011" t="b">
        <v>0</v>
      </c>
    </row>
    <row r="2012" spans="1:23" x14ac:dyDescent="0.3">
      <c r="A2012">
        <v>2980675</v>
      </c>
      <c r="B2012">
        <v>39.049999999999997</v>
      </c>
      <c r="C2012" t="s">
        <v>4538</v>
      </c>
      <c r="E2012" t="s">
        <v>23</v>
      </c>
      <c r="F2012" t="s">
        <v>44</v>
      </c>
      <c r="G2012">
        <v>2010</v>
      </c>
      <c r="H2012" t="s">
        <v>2535</v>
      </c>
      <c r="K2012" t="s">
        <v>25</v>
      </c>
      <c r="L2012" t="s">
        <v>30</v>
      </c>
      <c r="M2012" t="b">
        <v>1</v>
      </c>
      <c r="N2012" t="s">
        <v>2726</v>
      </c>
      <c r="Q2012" t="b">
        <v>1</v>
      </c>
      <c r="T2012" t="str">
        <f>"9780310866374"</f>
        <v>9780310866374</v>
      </c>
      <c r="U2012" t="b">
        <v>0</v>
      </c>
      <c r="W2012" t="b">
        <v>0</v>
      </c>
    </row>
    <row r="2013" spans="1:23" x14ac:dyDescent="0.3">
      <c r="A2013">
        <v>2980674</v>
      </c>
      <c r="B2013">
        <v>39.049999999999997</v>
      </c>
      <c r="C2013" t="s">
        <v>4539</v>
      </c>
      <c r="E2013" t="s">
        <v>23</v>
      </c>
      <c r="F2013" t="s">
        <v>44</v>
      </c>
      <c r="G2013">
        <v>2010</v>
      </c>
      <c r="H2013" t="s">
        <v>728</v>
      </c>
      <c r="K2013" t="s">
        <v>25</v>
      </c>
      <c r="L2013" t="s">
        <v>30</v>
      </c>
      <c r="M2013" t="b">
        <v>1</v>
      </c>
      <c r="N2013" t="s">
        <v>3110</v>
      </c>
      <c r="Q2013" t="b">
        <v>1</v>
      </c>
      <c r="S2013" t="str">
        <f>"9780310289852"</f>
        <v>9780310289852</v>
      </c>
      <c r="T2013" t="str">
        <f>"9780310560951"</f>
        <v>9780310560951</v>
      </c>
      <c r="U2013" t="b">
        <v>0</v>
      </c>
      <c r="W2013" t="b">
        <v>0</v>
      </c>
    </row>
    <row r="2014" spans="1:23" x14ac:dyDescent="0.3">
      <c r="A2014">
        <v>2980673</v>
      </c>
      <c r="B2014">
        <v>46.16</v>
      </c>
      <c r="C2014" t="s">
        <v>4540</v>
      </c>
      <c r="D2014" t="s">
        <v>4541</v>
      </c>
      <c r="E2014" t="s">
        <v>23</v>
      </c>
      <c r="F2014" t="s">
        <v>44</v>
      </c>
      <c r="G2014">
        <v>2017</v>
      </c>
      <c r="H2014" t="s">
        <v>58</v>
      </c>
      <c r="K2014" t="s">
        <v>25</v>
      </c>
      <c r="L2014" t="s">
        <v>26</v>
      </c>
      <c r="M2014" t="b">
        <v>1</v>
      </c>
      <c r="N2014" t="s">
        <v>280</v>
      </c>
      <c r="Q2014" t="b">
        <v>0</v>
      </c>
      <c r="T2014" t="str">
        <f>"9780310350040"</f>
        <v>9780310350040</v>
      </c>
      <c r="U2014" t="b">
        <v>0</v>
      </c>
      <c r="W2014" t="b">
        <v>0</v>
      </c>
    </row>
    <row r="2015" spans="1:23" x14ac:dyDescent="0.3">
      <c r="A2015">
        <v>2980672</v>
      </c>
      <c r="B2015">
        <v>99.46</v>
      </c>
      <c r="C2015" t="s">
        <v>4542</v>
      </c>
      <c r="D2015" t="s">
        <v>4543</v>
      </c>
      <c r="E2015" t="s">
        <v>23</v>
      </c>
      <c r="F2015" t="s">
        <v>44</v>
      </c>
      <c r="G2015">
        <v>2014</v>
      </c>
      <c r="H2015" t="s">
        <v>66</v>
      </c>
      <c r="K2015" t="s">
        <v>25</v>
      </c>
      <c r="L2015" t="s">
        <v>30</v>
      </c>
      <c r="M2015" t="b">
        <v>1</v>
      </c>
      <c r="N2015" t="s">
        <v>2865</v>
      </c>
      <c r="P2015" t="s">
        <v>4182</v>
      </c>
      <c r="Q2015" t="b">
        <v>1</v>
      </c>
      <c r="T2015" t="str">
        <f>"9780310342854"</f>
        <v>9780310342854</v>
      </c>
      <c r="U2015" t="b">
        <v>0</v>
      </c>
      <c r="W2015" t="b">
        <v>0</v>
      </c>
    </row>
    <row r="2016" spans="1:23" x14ac:dyDescent="0.3">
      <c r="A2016">
        <v>2980671</v>
      </c>
      <c r="B2016">
        <v>42.61</v>
      </c>
      <c r="C2016" t="s">
        <v>4544</v>
      </c>
      <c r="E2016" t="s">
        <v>23</v>
      </c>
      <c r="F2016" t="s">
        <v>44</v>
      </c>
      <c r="G2016">
        <v>2013</v>
      </c>
      <c r="H2016" t="s">
        <v>717</v>
      </c>
      <c r="K2016" t="s">
        <v>25</v>
      </c>
      <c r="L2016" t="s">
        <v>30</v>
      </c>
      <c r="M2016" t="b">
        <v>1</v>
      </c>
      <c r="N2016" t="s">
        <v>1496</v>
      </c>
      <c r="P2016" t="s">
        <v>1497</v>
      </c>
      <c r="Q2016" t="b">
        <v>1</v>
      </c>
      <c r="S2016" t="str">
        <f>"9780310724896"</f>
        <v>9780310724896</v>
      </c>
      <c r="T2016" t="str">
        <f>"9780310724902"</f>
        <v>9780310724902</v>
      </c>
      <c r="U2016" t="b">
        <v>0</v>
      </c>
      <c r="W2016" t="b">
        <v>0</v>
      </c>
    </row>
    <row r="2017" spans="1:23" x14ac:dyDescent="0.3">
      <c r="A2017">
        <v>2980670</v>
      </c>
      <c r="B2017">
        <v>34.47</v>
      </c>
      <c r="C2017" t="s">
        <v>4545</v>
      </c>
      <c r="D2017" t="s">
        <v>1061</v>
      </c>
      <c r="E2017" t="s">
        <v>23</v>
      </c>
      <c r="F2017" t="s">
        <v>44</v>
      </c>
      <c r="G2017">
        <v>2021</v>
      </c>
      <c r="H2017" t="s">
        <v>772</v>
      </c>
      <c r="K2017" t="s">
        <v>25</v>
      </c>
      <c r="L2017" t="s">
        <v>26</v>
      </c>
      <c r="M2017" t="b">
        <v>1</v>
      </c>
      <c r="N2017" t="s">
        <v>4546</v>
      </c>
      <c r="Q2017" t="b">
        <v>1</v>
      </c>
      <c r="S2017" t="str">
        <f>"9780310362401"</f>
        <v>9780310362401</v>
      </c>
      <c r="T2017" t="str">
        <f>"9780310362418"</f>
        <v>9780310362418</v>
      </c>
      <c r="U2017" t="b">
        <v>0</v>
      </c>
      <c r="W2017" t="b">
        <v>0</v>
      </c>
    </row>
    <row r="2018" spans="1:23" x14ac:dyDescent="0.3">
      <c r="A2018">
        <v>2980669</v>
      </c>
      <c r="B2018">
        <v>65.52</v>
      </c>
      <c r="C2018" t="s">
        <v>4547</v>
      </c>
      <c r="E2018" t="s">
        <v>23</v>
      </c>
      <c r="F2018" t="s">
        <v>44</v>
      </c>
      <c r="G2018">
        <v>2020</v>
      </c>
      <c r="H2018" t="s">
        <v>1122</v>
      </c>
      <c r="K2018" t="s">
        <v>25</v>
      </c>
      <c r="L2018" t="s">
        <v>26</v>
      </c>
      <c r="M2018" t="b">
        <v>1</v>
      </c>
      <c r="N2018" t="s">
        <v>1035</v>
      </c>
      <c r="Q2018" t="b">
        <v>0</v>
      </c>
      <c r="S2018" t="str">
        <f>"9780310108719"</f>
        <v>9780310108719</v>
      </c>
      <c r="T2018" t="str">
        <f>"9780310108726"</f>
        <v>9780310108726</v>
      </c>
      <c r="U2018" t="b">
        <v>0</v>
      </c>
      <c r="W2018" t="b">
        <v>0</v>
      </c>
    </row>
    <row r="2019" spans="1:23" x14ac:dyDescent="0.3">
      <c r="A2019">
        <v>2980668</v>
      </c>
      <c r="B2019">
        <v>79.319999999999993</v>
      </c>
      <c r="C2019" t="s">
        <v>4548</v>
      </c>
      <c r="D2019" t="s">
        <v>4549</v>
      </c>
      <c r="E2019" t="s">
        <v>23</v>
      </c>
      <c r="F2019" t="s">
        <v>44</v>
      </c>
      <c r="G2019">
        <v>2018</v>
      </c>
      <c r="H2019" t="s">
        <v>4550</v>
      </c>
      <c r="I2019" t="s">
        <v>4551</v>
      </c>
      <c r="J2019" t="s">
        <v>4552</v>
      </c>
      <c r="K2019" t="s">
        <v>25</v>
      </c>
      <c r="L2019" t="s">
        <v>26</v>
      </c>
      <c r="M2019" t="b">
        <v>1</v>
      </c>
      <c r="N2019" t="s">
        <v>4553</v>
      </c>
      <c r="O2019" t="str">
        <f>"796.42092;B"</f>
        <v>796.42092;B</v>
      </c>
      <c r="Q2019" t="b">
        <v>0</v>
      </c>
      <c r="S2019" t="str">
        <f>"9780310349891"</f>
        <v>9780310349891</v>
      </c>
      <c r="T2019" t="str">
        <f>"9780310350644"</f>
        <v>9780310350644</v>
      </c>
      <c r="U2019" t="b">
        <v>0</v>
      </c>
      <c r="W2019" t="b">
        <v>0</v>
      </c>
    </row>
    <row r="2020" spans="1:23" x14ac:dyDescent="0.3">
      <c r="A2020">
        <v>2980667</v>
      </c>
      <c r="B2020">
        <v>14.18</v>
      </c>
      <c r="C2020" t="s">
        <v>4554</v>
      </c>
      <c r="D2020" t="s">
        <v>3398</v>
      </c>
      <c r="E2020" t="s">
        <v>23</v>
      </c>
      <c r="F2020" t="s">
        <v>44</v>
      </c>
      <c r="G2020">
        <v>2018</v>
      </c>
      <c r="H2020" t="s">
        <v>772</v>
      </c>
      <c r="K2020" t="s">
        <v>25</v>
      </c>
      <c r="L2020" t="s">
        <v>30</v>
      </c>
      <c r="M2020" t="b">
        <v>1</v>
      </c>
      <c r="N2020" t="s">
        <v>958</v>
      </c>
      <c r="Q2020" t="b">
        <v>1</v>
      </c>
      <c r="T2020" t="str">
        <f>"9780310352518"</f>
        <v>9780310352518</v>
      </c>
      <c r="U2020" t="b">
        <v>0</v>
      </c>
      <c r="W2020" t="b">
        <v>0</v>
      </c>
    </row>
    <row r="2021" spans="1:23" x14ac:dyDescent="0.3">
      <c r="A2021">
        <v>2980666</v>
      </c>
      <c r="B2021">
        <v>55.17</v>
      </c>
      <c r="C2021" t="s">
        <v>4555</v>
      </c>
      <c r="E2021" t="s">
        <v>23</v>
      </c>
      <c r="F2021" t="s">
        <v>44</v>
      </c>
      <c r="G2021">
        <v>2014</v>
      </c>
      <c r="H2021" t="s">
        <v>772</v>
      </c>
      <c r="K2021" t="s">
        <v>25</v>
      </c>
      <c r="L2021" t="s">
        <v>30</v>
      </c>
      <c r="M2021" t="b">
        <v>1</v>
      </c>
      <c r="N2021" t="s">
        <v>962</v>
      </c>
      <c r="P2021" t="s">
        <v>3811</v>
      </c>
      <c r="Q2021" t="b">
        <v>1</v>
      </c>
      <c r="S2021" t="str">
        <f>"9780310325697"</f>
        <v>9780310325697</v>
      </c>
      <c r="T2021" t="str">
        <f>"9780310328117"</f>
        <v>9780310328117</v>
      </c>
      <c r="U2021" t="b">
        <v>0</v>
      </c>
      <c r="W2021" t="b">
        <v>0</v>
      </c>
    </row>
    <row r="2022" spans="1:23" x14ac:dyDescent="0.3">
      <c r="A2022">
        <v>2980665</v>
      </c>
      <c r="B2022">
        <v>55.17</v>
      </c>
      <c r="C2022" t="s">
        <v>4556</v>
      </c>
      <c r="D2022" t="s">
        <v>4557</v>
      </c>
      <c r="E2022" t="s">
        <v>23</v>
      </c>
      <c r="F2022" t="s">
        <v>44</v>
      </c>
      <c r="G2022">
        <v>2013</v>
      </c>
      <c r="H2022" t="s">
        <v>99</v>
      </c>
      <c r="K2022" t="s">
        <v>25</v>
      </c>
      <c r="L2022" t="s">
        <v>30</v>
      </c>
      <c r="M2022" t="b">
        <v>1</v>
      </c>
      <c r="N2022" t="s">
        <v>4558</v>
      </c>
      <c r="Q2022" t="b">
        <v>0</v>
      </c>
      <c r="S2022" t="str">
        <f>"9780310336921"</f>
        <v>9780310336921</v>
      </c>
      <c r="T2022" t="str">
        <f>"9780310336976"</f>
        <v>9780310336976</v>
      </c>
      <c r="U2022" t="b">
        <v>0</v>
      </c>
      <c r="W2022" t="b">
        <v>0</v>
      </c>
    </row>
    <row r="2023" spans="1:23" x14ac:dyDescent="0.3">
      <c r="A2023">
        <v>2980664</v>
      </c>
      <c r="B2023">
        <v>93.12</v>
      </c>
      <c r="C2023" t="s">
        <v>4559</v>
      </c>
      <c r="D2023" t="s">
        <v>4560</v>
      </c>
      <c r="E2023" t="s">
        <v>23</v>
      </c>
      <c r="F2023" t="s">
        <v>44</v>
      </c>
      <c r="G2023">
        <v>2019</v>
      </c>
      <c r="H2023" t="s">
        <v>4259</v>
      </c>
      <c r="K2023" t="s">
        <v>25</v>
      </c>
      <c r="L2023" t="s">
        <v>26</v>
      </c>
      <c r="M2023" t="b">
        <v>1</v>
      </c>
      <c r="N2023" t="s">
        <v>4561</v>
      </c>
      <c r="Q2023" t="b">
        <v>0</v>
      </c>
      <c r="S2023" t="str">
        <f>"9780310359111"</f>
        <v>9780310359111</v>
      </c>
      <c r="T2023" t="str">
        <f>"9780310359128"</f>
        <v>9780310359128</v>
      </c>
      <c r="U2023" t="b">
        <v>0</v>
      </c>
      <c r="W2023" t="b">
        <v>0</v>
      </c>
    </row>
    <row r="2024" spans="1:23" x14ac:dyDescent="0.3">
      <c r="A2024">
        <v>2980663</v>
      </c>
      <c r="B2024">
        <v>44.82</v>
      </c>
      <c r="C2024" t="s">
        <v>4562</v>
      </c>
      <c r="D2024" t="s">
        <v>4563</v>
      </c>
      <c r="E2024" t="s">
        <v>23</v>
      </c>
      <c r="F2024" t="s">
        <v>44</v>
      </c>
      <c r="G2024">
        <v>2014</v>
      </c>
      <c r="H2024" t="s">
        <v>2079</v>
      </c>
      <c r="K2024" t="s">
        <v>25</v>
      </c>
      <c r="L2024" t="s">
        <v>30</v>
      </c>
      <c r="M2024" t="b">
        <v>1</v>
      </c>
      <c r="N2024" t="s">
        <v>1878</v>
      </c>
      <c r="Q2024" t="b">
        <v>0</v>
      </c>
      <c r="S2024" t="str">
        <f>"9780310742531"</f>
        <v>9780310742531</v>
      </c>
      <c r="T2024" t="str">
        <f>"9780310742548"</f>
        <v>9780310742548</v>
      </c>
      <c r="U2024" t="b">
        <v>0</v>
      </c>
      <c r="W2024" t="b">
        <v>0</v>
      </c>
    </row>
    <row r="2025" spans="1:23" x14ac:dyDescent="0.3">
      <c r="A2025">
        <v>2980662</v>
      </c>
      <c r="B2025">
        <v>58.62</v>
      </c>
      <c r="C2025" t="s">
        <v>4564</v>
      </c>
      <c r="D2025" t="s">
        <v>4565</v>
      </c>
      <c r="E2025" t="s">
        <v>23</v>
      </c>
      <c r="F2025" t="s">
        <v>44</v>
      </c>
      <c r="G2025">
        <v>2018</v>
      </c>
      <c r="H2025" t="s">
        <v>56</v>
      </c>
      <c r="I2025" t="s">
        <v>4566</v>
      </c>
      <c r="J2025" t="s">
        <v>4567</v>
      </c>
      <c r="K2025" t="s">
        <v>25</v>
      </c>
      <c r="L2025" t="s">
        <v>26</v>
      </c>
      <c r="M2025" t="b">
        <v>1</v>
      </c>
      <c r="N2025" t="s">
        <v>4568</v>
      </c>
      <c r="O2025" t="str">
        <f>"277.3/0830842"</f>
        <v>277.3/0830842</v>
      </c>
      <c r="Q2025" t="b">
        <v>0</v>
      </c>
      <c r="S2025" t="str">
        <f>"9780310351856"</f>
        <v>9780310351856</v>
      </c>
      <c r="T2025" t="str">
        <f>"9780310351894"</f>
        <v>9780310351894</v>
      </c>
      <c r="U2025" t="b">
        <v>0</v>
      </c>
      <c r="W2025" t="b">
        <v>0</v>
      </c>
    </row>
    <row r="2026" spans="1:23" x14ac:dyDescent="0.3">
      <c r="A2026">
        <v>2980661</v>
      </c>
      <c r="B2026">
        <v>55.17</v>
      </c>
      <c r="C2026" t="s">
        <v>4569</v>
      </c>
      <c r="D2026" t="s">
        <v>4570</v>
      </c>
      <c r="E2026" t="s">
        <v>23</v>
      </c>
      <c r="F2026" t="s">
        <v>44</v>
      </c>
      <c r="G2026">
        <v>2015</v>
      </c>
      <c r="H2026" t="s">
        <v>56</v>
      </c>
      <c r="K2026" t="s">
        <v>25</v>
      </c>
      <c r="L2026" t="s">
        <v>30</v>
      </c>
      <c r="M2026" t="b">
        <v>1</v>
      </c>
      <c r="N2026" t="s">
        <v>554</v>
      </c>
      <c r="Q2026" t="b">
        <v>0</v>
      </c>
      <c r="S2026" t="str">
        <f>"9780310273301"</f>
        <v>9780310273301</v>
      </c>
      <c r="T2026" t="str">
        <f>"9780310563402"</f>
        <v>9780310563402</v>
      </c>
      <c r="U2026" t="b">
        <v>0</v>
      </c>
      <c r="W2026" t="b">
        <v>0</v>
      </c>
    </row>
    <row r="2027" spans="1:23" x14ac:dyDescent="0.3">
      <c r="A2027">
        <v>2980660</v>
      </c>
      <c r="B2027">
        <v>86.22</v>
      </c>
      <c r="C2027" t="s">
        <v>4571</v>
      </c>
      <c r="D2027" t="s">
        <v>4572</v>
      </c>
      <c r="E2027" t="s">
        <v>23</v>
      </c>
      <c r="F2027" t="s">
        <v>44</v>
      </c>
      <c r="G2027">
        <v>2019</v>
      </c>
      <c r="H2027" t="s">
        <v>58</v>
      </c>
      <c r="K2027" t="s">
        <v>25</v>
      </c>
      <c r="L2027" t="s">
        <v>26</v>
      </c>
      <c r="M2027" t="b">
        <v>1</v>
      </c>
      <c r="N2027" t="s">
        <v>4573</v>
      </c>
      <c r="Q2027" t="b">
        <v>0</v>
      </c>
      <c r="S2027" t="str">
        <f>"9780310351498"</f>
        <v>9780310351498</v>
      </c>
      <c r="T2027" t="str">
        <f>"9780310352341"</f>
        <v>9780310352341</v>
      </c>
      <c r="U2027" t="b">
        <v>0</v>
      </c>
      <c r="W2027" t="b">
        <v>0</v>
      </c>
    </row>
    <row r="2028" spans="1:23" x14ac:dyDescent="0.3">
      <c r="A2028">
        <v>2980659</v>
      </c>
      <c r="B2028">
        <v>51.72</v>
      </c>
      <c r="C2028" t="s">
        <v>4574</v>
      </c>
      <c r="D2028" t="s">
        <v>4575</v>
      </c>
      <c r="E2028" t="s">
        <v>23</v>
      </c>
      <c r="F2028" t="s">
        <v>44</v>
      </c>
      <c r="G2028">
        <v>2015</v>
      </c>
      <c r="H2028" t="s">
        <v>58</v>
      </c>
      <c r="I2028" t="s">
        <v>4576</v>
      </c>
      <c r="K2028" t="s">
        <v>25</v>
      </c>
      <c r="L2028" t="s">
        <v>26</v>
      </c>
      <c r="M2028" t="b">
        <v>1</v>
      </c>
      <c r="N2028" t="s">
        <v>3072</v>
      </c>
      <c r="O2028" t="str">
        <f>"220.6"</f>
        <v>220.6</v>
      </c>
      <c r="Q2028" t="b">
        <v>0</v>
      </c>
      <c r="S2028" t="str">
        <f>"9780310271154"</f>
        <v>9780310271154</v>
      </c>
      <c r="T2028" t="str">
        <f>"9780310563464"</f>
        <v>9780310563464</v>
      </c>
      <c r="U2028" t="b">
        <v>0</v>
      </c>
      <c r="W2028" t="b">
        <v>0</v>
      </c>
    </row>
    <row r="2029" spans="1:23" x14ac:dyDescent="0.3">
      <c r="A2029">
        <v>2980658</v>
      </c>
      <c r="B2029">
        <v>55.17</v>
      </c>
      <c r="C2029" t="s">
        <v>4577</v>
      </c>
      <c r="D2029" t="s">
        <v>4578</v>
      </c>
      <c r="E2029" t="s">
        <v>23</v>
      </c>
      <c r="F2029" t="s">
        <v>44</v>
      </c>
      <c r="G2029">
        <v>2015</v>
      </c>
      <c r="H2029" t="s">
        <v>99</v>
      </c>
      <c r="K2029" t="s">
        <v>25</v>
      </c>
      <c r="L2029" t="s">
        <v>30</v>
      </c>
      <c r="M2029" t="b">
        <v>1</v>
      </c>
      <c r="N2029" t="s">
        <v>4579</v>
      </c>
      <c r="Q2029" t="b">
        <v>0</v>
      </c>
      <c r="S2029" t="str">
        <f>"9780310341352"</f>
        <v>9780310341352</v>
      </c>
      <c r="T2029" t="str">
        <f>"9780310341437"</f>
        <v>9780310341437</v>
      </c>
      <c r="U2029" t="b">
        <v>0</v>
      </c>
      <c r="W2029" t="b">
        <v>0</v>
      </c>
    </row>
    <row r="2030" spans="1:23" x14ac:dyDescent="0.3">
      <c r="A2030">
        <v>2980657</v>
      </c>
      <c r="B2030">
        <v>89.67</v>
      </c>
      <c r="C2030" t="s">
        <v>4580</v>
      </c>
      <c r="D2030" t="s">
        <v>4581</v>
      </c>
      <c r="E2030" t="s">
        <v>23</v>
      </c>
      <c r="F2030" t="s">
        <v>44</v>
      </c>
      <c r="G2030">
        <v>2013</v>
      </c>
      <c r="H2030" t="s">
        <v>1056</v>
      </c>
      <c r="K2030" t="s">
        <v>25</v>
      </c>
      <c r="L2030" t="s">
        <v>30</v>
      </c>
      <c r="M2030" t="b">
        <v>1</v>
      </c>
      <c r="N2030" t="s">
        <v>1210</v>
      </c>
      <c r="Q2030" t="b">
        <v>0</v>
      </c>
      <c r="S2030" t="str">
        <f>"9780062008466"</f>
        <v>9780062008466</v>
      </c>
      <c r="T2030" t="str">
        <f>"9780062098498"</f>
        <v>9780062098498</v>
      </c>
      <c r="U2030" t="b">
        <v>0</v>
      </c>
      <c r="W2030" t="b">
        <v>0</v>
      </c>
    </row>
    <row r="2031" spans="1:23" x14ac:dyDescent="0.3">
      <c r="A2031">
        <v>2980656</v>
      </c>
      <c r="B2031">
        <v>10.32</v>
      </c>
      <c r="C2031" t="s">
        <v>4582</v>
      </c>
      <c r="E2031" t="s">
        <v>23</v>
      </c>
      <c r="F2031" t="s">
        <v>44</v>
      </c>
      <c r="G2031">
        <v>2017</v>
      </c>
      <c r="H2031" t="s">
        <v>1205</v>
      </c>
      <c r="K2031" t="s">
        <v>25</v>
      </c>
      <c r="L2031" t="s">
        <v>26</v>
      </c>
      <c r="M2031" t="b">
        <v>1</v>
      </c>
      <c r="N2031" t="s">
        <v>968</v>
      </c>
      <c r="Q2031" t="b">
        <v>0</v>
      </c>
      <c r="S2031" t="str">
        <f>"9780310350224"</f>
        <v>9780310350224</v>
      </c>
      <c r="T2031" t="str">
        <f>"9780310350835"</f>
        <v>9780310350835</v>
      </c>
      <c r="U2031" t="b">
        <v>0</v>
      </c>
      <c r="W2031" t="b">
        <v>0</v>
      </c>
    </row>
    <row r="2032" spans="1:23" x14ac:dyDescent="0.3">
      <c r="A2032">
        <v>2980655</v>
      </c>
      <c r="B2032">
        <v>99.46</v>
      </c>
      <c r="C2032" t="s">
        <v>4583</v>
      </c>
      <c r="E2032" t="s">
        <v>23</v>
      </c>
      <c r="F2032" t="s">
        <v>44</v>
      </c>
      <c r="G2032">
        <v>2014</v>
      </c>
      <c r="H2032" t="s">
        <v>2535</v>
      </c>
      <c r="K2032" t="s">
        <v>25</v>
      </c>
      <c r="L2032" t="s">
        <v>30</v>
      </c>
      <c r="M2032" t="b">
        <v>1</v>
      </c>
      <c r="N2032" t="s">
        <v>741</v>
      </c>
      <c r="P2032" t="s">
        <v>2809</v>
      </c>
      <c r="Q2032" t="b">
        <v>1</v>
      </c>
      <c r="T2032" t="str">
        <f>"9780310343035"</f>
        <v>9780310343035</v>
      </c>
      <c r="U2032" t="b">
        <v>0</v>
      </c>
      <c r="W2032" t="b">
        <v>0</v>
      </c>
    </row>
    <row r="2033" spans="1:23" x14ac:dyDescent="0.3">
      <c r="A2033">
        <v>2980654</v>
      </c>
      <c r="B2033">
        <v>14.18</v>
      </c>
      <c r="C2033" t="s">
        <v>4584</v>
      </c>
      <c r="D2033" t="s">
        <v>3250</v>
      </c>
      <c r="E2033" t="s">
        <v>23</v>
      </c>
      <c r="F2033" t="s">
        <v>44</v>
      </c>
      <c r="G2033">
        <v>2020</v>
      </c>
      <c r="H2033" t="s">
        <v>772</v>
      </c>
      <c r="K2033" t="s">
        <v>25</v>
      </c>
      <c r="L2033" t="s">
        <v>30</v>
      </c>
      <c r="M2033" t="b">
        <v>1</v>
      </c>
      <c r="N2033" t="s">
        <v>776</v>
      </c>
      <c r="Q2033" t="b">
        <v>1</v>
      </c>
      <c r="T2033" t="str">
        <f>"9780310360353"</f>
        <v>9780310360353</v>
      </c>
      <c r="U2033" t="b">
        <v>0</v>
      </c>
      <c r="W2033" t="b">
        <v>0</v>
      </c>
    </row>
    <row r="2034" spans="1:23" x14ac:dyDescent="0.3">
      <c r="A2034">
        <v>2980653</v>
      </c>
      <c r="B2034">
        <v>24.12</v>
      </c>
      <c r="C2034" t="s">
        <v>4585</v>
      </c>
      <c r="D2034" t="s">
        <v>4586</v>
      </c>
      <c r="E2034" t="s">
        <v>23</v>
      </c>
      <c r="F2034" t="s">
        <v>44</v>
      </c>
      <c r="G2034">
        <v>2009</v>
      </c>
      <c r="H2034" t="s">
        <v>716</v>
      </c>
      <c r="K2034" t="s">
        <v>25</v>
      </c>
      <c r="L2034" t="s">
        <v>30</v>
      </c>
      <c r="M2034" t="b">
        <v>1</v>
      </c>
      <c r="N2034" t="s">
        <v>4587</v>
      </c>
      <c r="P2034" t="s">
        <v>4588</v>
      </c>
      <c r="Q2034" t="b">
        <v>1</v>
      </c>
      <c r="S2034" t="str">
        <f>"9780310714262"</f>
        <v>9780310714262</v>
      </c>
      <c r="T2034" t="str">
        <f>"9780310861041"</f>
        <v>9780310861041</v>
      </c>
      <c r="U2034" t="b">
        <v>0</v>
      </c>
      <c r="W2034" t="b">
        <v>0</v>
      </c>
    </row>
    <row r="2035" spans="1:23" x14ac:dyDescent="0.3">
      <c r="A2035">
        <v>2980652</v>
      </c>
      <c r="B2035">
        <v>14.18</v>
      </c>
      <c r="C2035" t="s">
        <v>4589</v>
      </c>
      <c r="D2035" t="s">
        <v>4417</v>
      </c>
      <c r="E2035" t="s">
        <v>23</v>
      </c>
      <c r="F2035" t="s">
        <v>44</v>
      </c>
      <c r="G2035">
        <v>2019</v>
      </c>
      <c r="H2035" t="s">
        <v>772</v>
      </c>
      <c r="K2035" t="s">
        <v>25</v>
      </c>
      <c r="L2035" t="s">
        <v>30</v>
      </c>
      <c r="M2035" t="b">
        <v>1</v>
      </c>
      <c r="N2035" t="s">
        <v>776</v>
      </c>
      <c r="Q2035" t="b">
        <v>1</v>
      </c>
      <c r="T2035" t="str">
        <f>"9780310354369"</f>
        <v>9780310354369</v>
      </c>
      <c r="U2035" t="b">
        <v>0</v>
      </c>
      <c r="W2035" t="b">
        <v>0</v>
      </c>
    </row>
    <row r="2036" spans="1:23" x14ac:dyDescent="0.3">
      <c r="A2036">
        <v>2980651</v>
      </c>
      <c r="B2036">
        <v>28.39</v>
      </c>
      <c r="C2036" t="s">
        <v>4590</v>
      </c>
      <c r="E2036" t="s">
        <v>23</v>
      </c>
      <c r="F2036" t="s">
        <v>44</v>
      </c>
      <c r="G2036">
        <v>2009</v>
      </c>
      <c r="H2036" t="s">
        <v>484</v>
      </c>
      <c r="K2036" t="s">
        <v>25</v>
      </c>
      <c r="L2036" t="s">
        <v>30</v>
      </c>
      <c r="M2036" t="b">
        <v>1</v>
      </c>
      <c r="N2036" t="s">
        <v>3587</v>
      </c>
      <c r="Q2036" t="b">
        <v>1</v>
      </c>
      <c r="T2036" t="str">
        <f>"9780310862239"</f>
        <v>9780310862239</v>
      </c>
      <c r="U2036" t="b">
        <v>0</v>
      </c>
      <c r="W2036" t="b">
        <v>0</v>
      </c>
    </row>
    <row r="2037" spans="1:23" x14ac:dyDescent="0.3">
      <c r="A2037">
        <v>2980650</v>
      </c>
      <c r="B2037">
        <v>62.07</v>
      </c>
      <c r="C2037" t="s">
        <v>4591</v>
      </c>
      <c r="D2037" t="s">
        <v>4592</v>
      </c>
      <c r="E2037" t="s">
        <v>23</v>
      </c>
      <c r="F2037" t="s">
        <v>44</v>
      </c>
      <c r="G2037">
        <v>2019</v>
      </c>
      <c r="H2037" t="s">
        <v>58</v>
      </c>
      <c r="K2037" t="s">
        <v>25</v>
      </c>
      <c r="L2037" t="s">
        <v>26</v>
      </c>
      <c r="M2037" t="b">
        <v>1</v>
      </c>
      <c r="N2037" t="s">
        <v>4593</v>
      </c>
      <c r="Q2037" t="b">
        <v>0</v>
      </c>
      <c r="S2037" t="str">
        <f>"9780310355717"</f>
        <v>9780310355717</v>
      </c>
      <c r="T2037" t="str">
        <f>"9780310355731"</f>
        <v>9780310355731</v>
      </c>
      <c r="U2037" t="b">
        <v>0</v>
      </c>
      <c r="W2037" t="b">
        <v>0</v>
      </c>
    </row>
    <row r="2038" spans="1:23" x14ac:dyDescent="0.3">
      <c r="A2038">
        <v>2980649</v>
      </c>
      <c r="B2038">
        <v>55.17</v>
      </c>
      <c r="C2038" t="s">
        <v>4594</v>
      </c>
      <c r="E2038" t="s">
        <v>23</v>
      </c>
      <c r="F2038" t="s">
        <v>44</v>
      </c>
      <c r="G2038">
        <v>2012</v>
      </c>
      <c r="H2038" t="s">
        <v>2535</v>
      </c>
      <c r="K2038" t="s">
        <v>25</v>
      </c>
      <c r="L2038" t="s">
        <v>30</v>
      </c>
      <c r="M2038" t="b">
        <v>1</v>
      </c>
      <c r="N2038" t="s">
        <v>4527</v>
      </c>
      <c r="P2038" t="s">
        <v>4528</v>
      </c>
      <c r="Q2038" t="b">
        <v>1</v>
      </c>
      <c r="S2038" t="str">
        <f>"9780310291060"</f>
        <v>9780310291060</v>
      </c>
      <c r="T2038" t="str">
        <f>"9780310413134"</f>
        <v>9780310413134</v>
      </c>
      <c r="U2038" t="b">
        <v>0</v>
      </c>
      <c r="W2038" t="b">
        <v>0</v>
      </c>
    </row>
    <row r="2039" spans="1:23" x14ac:dyDescent="0.3">
      <c r="A2039">
        <v>2980648</v>
      </c>
      <c r="B2039">
        <v>65.52</v>
      </c>
      <c r="C2039" t="s">
        <v>4595</v>
      </c>
      <c r="D2039" t="s">
        <v>4596</v>
      </c>
      <c r="E2039" t="s">
        <v>23</v>
      </c>
      <c r="F2039" t="s">
        <v>44</v>
      </c>
      <c r="G2039">
        <v>2019</v>
      </c>
      <c r="H2039" t="s">
        <v>69</v>
      </c>
      <c r="K2039" t="s">
        <v>25</v>
      </c>
      <c r="L2039" t="s">
        <v>26</v>
      </c>
      <c r="M2039" t="b">
        <v>1</v>
      </c>
      <c r="N2039" t="s">
        <v>4597</v>
      </c>
      <c r="Q2039" t="b">
        <v>0</v>
      </c>
      <c r="S2039" t="str">
        <f>"9780310361558"</f>
        <v>9780310361558</v>
      </c>
      <c r="T2039" t="str">
        <f>"9780310355359"</f>
        <v>9780310355359</v>
      </c>
      <c r="U2039" t="b">
        <v>0</v>
      </c>
      <c r="W2039" t="b">
        <v>0</v>
      </c>
    </row>
    <row r="2040" spans="1:23" x14ac:dyDescent="0.3">
      <c r="A2040">
        <v>2980647</v>
      </c>
      <c r="B2040">
        <v>55.17</v>
      </c>
      <c r="C2040" t="s">
        <v>4598</v>
      </c>
      <c r="E2040" t="s">
        <v>23</v>
      </c>
      <c r="F2040" t="s">
        <v>44</v>
      </c>
      <c r="G2040">
        <v>2014</v>
      </c>
      <c r="H2040" t="s">
        <v>852</v>
      </c>
      <c r="K2040" t="s">
        <v>25</v>
      </c>
      <c r="L2040" t="s">
        <v>30</v>
      </c>
      <c r="M2040" t="b">
        <v>1</v>
      </c>
      <c r="N2040" t="s">
        <v>4502</v>
      </c>
      <c r="P2040" t="s">
        <v>4503</v>
      </c>
      <c r="Q2040" t="b">
        <v>1</v>
      </c>
      <c r="S2040" t="str">
        <f>"9780310338529"</f>
        <v>9780310338529</v>
      </c>
      <c r="T2040" t="str">
        <f>"9780310338536"</f>
        <v>9780310338536</v>
      </c>
      <c r="U2040" t="b">
        <v>0</v>
      </c>
      <c r="W2040" t="b">
        <v>0</v>
      </c>
    </row>
    <row r="2041" spans="1:23" x14ac:dyDescent="0.3">
      <c r="A2041">
        <v>2980646</v>
      </c>
      <c r="B2041">
        <v>65.52</v>
      </c>
      <c r="C2041" t="s">
        <v>4599</v>
      </c>
      <c r="D2041" t="s">
        <v>4600</v>
      </c>
      <c r="E2041" t="s">
        <v>23</v>
      </c>
      <c r="F2041" t="s">
        <v>44</v>
      </c>
      <c r="G2041">
        <v>2020</v>
      </c>
      <c r="H2041" t="s">
        <v>1848</v>
      </c>
      <c r="K2041" t="s">
        <v>25</v>
      </c>
      <c r="L2041" t="s">
        <v>26</v>
      </c>
      <c r="M2041" t="b">
        <v>1</v>
      </c>
      <c r="N2041" t="s">
        <v>4601</v>
      </c>
      <c r="Q2041" t="b">
        <v>0</v>
      </c>
      <c r="S2041" t="str">
        <f>"9780310765608"</f>
        <v>9780310765608</v>
      </c>
      <c r="T2041" t="str">
        <f>"9780310765288"</f>
        <v>9780310765288</v>
      </c>
      <c r="U2041" t="b">
        <v>0</v>
      </c>
      <c r="W2041" t="b">
        <v>0</v>
      </c>
    </row>
    <row r="2042" spans="1:23" x14ac:dyDescent="0.3">
      <c r="A2042">
        <v>2980645</v>
      </c>
      <c r="B2042">
        <v>58.62</v>
      </c>
      <c r="C2042" t="s">
        <v>4602</v>
      </c>
      <c r="D2042" t="s">
        <v>4603</v>
      </c>
      <c r="E2042" t="s">
        <v>23</v>
      </c>
      <c r="F2042" t="s">
        <v>44</v>
      </c>
      <c r="G2042">
        <v>2013</v>
      </c>
      <c r="H2042" t="s">
        <v>1234</v>
      </c>
      <c r="K2042" t="s">
        <v>25</v>
      </c>
      <c r="L2042" t="s">
        <v>30</v>
      </c>
      <c r="M2042" t="b">
        <v>1</v>
      </c>
      <c r="N2042" t="s">
        <v>4604</v>
      </c>
      <c r="Q2042" t="b">
        <v>0</v>
      </c>
      <c r="S2042" t="str">
        <f>"9780310351450"</f>
        <v>9780310351450</v>
      </c>
      <c r="T2042" t="str">
        <f>"9780310328254"</f>
        <v>9780310328254</v>
      </c>
      <c r="U2042" t="b">
        <v>0</v>
      </c>
      <c r="W2042" t="b">
        <v>0</v>
      </c>
    </row>
    <row r="2043" spans="1:23" x14ac:dyDescent="0.3">
      <c r="A2043">
        <v>2980644</v>
      </c>
      <c r="B2043">
        <v>42.61</v>
      </c>
      <c r="C2043" t="s">
        <v>4605</v>
      </c>
      <c r="D2043" t="s">
        <v>2243</v>
      </c>
      <c r="E2043" t="s">
        <v>23</v>
      </c>
      <c r="F2043" t="s">
        <v>44</v>
      </c>
      <c r="G2043">
        <v>2011</v>
      </c>
      <c r="H2043" t="s">
        <v>2767</v>
      </c>
      <c r="K2043" t="s">
        <v>25</v>
      </c>
      <c r="L2043" t="s">
        <v>30</v>
      </c>
      <c r="M2043" t="b">
        <v>1</v>
      </c>
      <c r="N2043" t="s">
        <v>44</v>
      </c>
      <c r="Q2043" t="b">
        <v>0</v>
      </c>
      <c r="T2043" t="str">
        <f>"9780310440055"</f>
        <v>9780310440055</v>
      </c>
      <c r="U2043" t="b">
        <v>0</v>
      </c>
      <c r="W2043" t="b">
        <v>0</v>
      </c>
    </row>
    <row r="2044" spans="1:23" x14ac:dyDescent="0.3">
      <c r="A2044">
        <v>2980643</v>
      </c>
      <c r="B2044">
        <v>58.62</v>
      </c>
      <c r="C2044" t="s">
        <v>4606</v>
      </c>
      <c r="D2044" t="s">
        <v>4607</v>
      </c>
      <c r="E2044" t="s">
        <v>23</v>
      </c>
      <c r="F2044" t="s">
        <v>44</v>
      </c>
      <c r="G2044">
        <v>2010</v>
      </c>
      <c r="H2044" t="s">
        <v>58</v>
      </c>
      <c r="K2044" t="s">
        <v>25</v>
      </c>
      <c r="L2044" t="s">
        <v>30</v>
      </c>
      <c r="M2044" t="b">
        <v>1</v>
      </c>
      <c r="N2044" t="s">
        <v>2626</v>
      </c>
      <c r="Q2044" t="b">
        <v>0</v>
      </c>
      <c r="T2044" t="str">
        <f>"9780310332244"</f>
        <v>9780310332244</v>
      </c>
      <c r="U2044" t="b">
        <v>0</v>
      </c>
      <c r="W2044" t="b">
        <v>0</v>
      </c>
    </row>
    <row r="2045" spans="1:23" x14ac:dyDescent="0.3">
      <c r="A2045">
        <v>2980642</v>
      </c>
      <c r="B2045">
        <v>58.62</v>
      </c>
      <c r="C2045" t="s">
        <v>4608</v>
      </c>
      <c r="D2045" t="s">
        <v>4609</v>
      </c>
      <c r="E2045" t="s">
        <v>23</v>
      </c>
      <c r="F2045" t="s">
        <v>44</v>
      </c>
      <c r="G2045">
        <v>2010</v>
      </c>
      <c r="H2045" t="s">
        <v>119</v>
      </c>
      <c r="K2045" t="s">
        <v>25</v>
      </c>
      <c r="L2045" t="s">
        <v>30</v>
      </c>
      <c r="M2045" t="b">
        <v>1</v>
      </c>
      <c r="N2045" t="s">
        <v>3838</v>
      </c>
      <c r="Q2045" t="b">
        <v>0</v>
      </c>
      <c r="S2045" t="str">
        <f>"9780310350651"</f>
        <v>9780310350651</v>
      </c>
      <c r="T2045" t="str">
        <f>"9780310872528"</f>
        <v>9780310872528</v>
      </c>
      <c r="U2045" t="b">
        <v>0</v>
      </c>
      <c r="W2045" t="b">
        <v>0</v>
      </c>
    </row>
    <row r="2046" spans="1:23" x14ac:dyDescent="0.3">
      <c r="A2046">
        <v>2980641</v>
      </c>
      <c r="B2046">
        <v>51.72</v>
      </c>
      <c r="C2046" t="s">
        <v>4610</v>
      </c>
      <c r="E2046" t="s">
        <v>23</v>
      </c>
      <c r="F2046" t="s">
        <v>44</v>
      </c>
      <c r="G2046">
        <v>2013</v>
      </c>
      <c r="H2046" t="s">
        <v>66</v>
      </c>
      <c r="K2046" t="s">
        <v>25</v>
      </c>
      <c r="L2046" t="s">
        <v>145</v>
      </c>
      <c r="M2046" t="b">
        <v>1</v>
      </c>
      <c r="N2046" t="s">
        <v>4039</v>
      </c>
      <c r="P2046" t="s">
        <v>4611</v>
      </c>
      <c r="Q2046" t="b">
        <v>1</v>
      </c>
      <c r="S2046" t="str">
        <f>"9780310333227"</f>
        <v>9780310333227</v>
      </c>
      <c r="T2046" t="str">
        <f>"9780310333234"</f>
        <v>9780310333234</v>
      </c>
      <c r="U2046" t="b">
        <v>0</v>
      </c>
      <c r="W2046" t="b">
        <v>0</v>
      </c>
    </row>
    <row r="2047" spans="1:23" x14ac:dyDescent="0.3">
      <c r="A2047">
        <v>2980640</v>
      </c>
      <c r="B2047">
        <v>65.52</v>
      </c>
      <c r="C2047" t="s">
        <v>4612</v>
      </c>
      <c r="D2047" t="s">
        <v>4613</v>
      </c>
      <c r="E2047" t="s">
        <v>23</v>
      </c>
      <c r="F2047" t="s">
        <v>44</v>
      </c>
      <c r="G2047">
        <v>2012</v>
      </c>
      <c r="H2047" t="s">
        <v>69</v>
      </c>
      <c r="K2047" t="s">
        <v>25</v>
      </c>
      <c r="L2047" t="s">
        <v>26</v>
      </c>
      <c r="M2047" t="b">
        <v>1</v>
      </c>
      <c r="N2047" t="s">
        <v>2705</v>
      </c>
      <c r="Q2047" t="b">
        <v>0</v>
      </c>
      <c r="S2047" t="str">
        <f>"9780310328377"</f>
        <v>9780310328377</v>
      </c>
      <c r="T2047" t="str">
        <f>"9780310599296"</f>
        <v>9780310599296</v>
      </c>
      <c r="U2047" t="b">
        <v>0</v>
      </c>
      <c r="W2047" t="b">
        <v>0</v>
      </c>
    </row>
    <row r="2048" spans="1:23" x14ac:dyDescent="0.3">
      <c r="A2048">
        <v>2980639</v>
      </c>
      <c r="B2048">
        <v>62.07</v>
      </c>
      <c r="C2048" t="s">
        <v>4614</v>
      </c>
      <c r="D2048" t="s">
        <v>4615</v>
      </c>
      <c r="E2048" t="s">
        <v>23</v>
      </c>
      <c r="F2048" t="s">
        <v>44</v>
      </c>
      <c r="G2048">
        <v>2019</v>
      </c>
      <c r="H2048" t="s">
        <v>99</v>
      </c>
      <c r="K2048" t="s">
        <v>25</v>
      </c>
      <c r="L2048" t="s">
        <v>26</v>
      </c>
      <c r="M2048" t="b">
        <v>1</v>
      </c>
      <c r="N2048" t="s">
        <v>4616</v>
      </c>
      <c r="Q2048" t="b">
        <v>0</v>
      </c>
      <c r="S2048" t="str">
        <f>"9780310353577"</f>
        <v>9780310353577</v>
      </c>
      <c r="T2048" t="str">
        <f>"9780310353584"</f>
        <v>9780310353584</v>
      </c>
      <c r="U2048" t="b">
        <v>0</v>
      </c>
      <c r="W2048" t="b">
        <v>0</v>
      </c>
    </row>
    <row r="2049" spans="1:23" x14ac:dyDescent="0.3">
      <c r="A2049">
        <v>2980638</v>
      </c>
      <c r="B2049">
        <v>7.07</v>
      </c>
      <c r="C2049" t="s">
        <v>4617</v>
      </c>
      <c r="E2049" t="s">
        <v>23</v>
      </c>
      <c r="F2049" t="s">
        <v>44</v>
      </c>
      <c r="G2049">
        <v>2014</v>
      </c>
      <c r="H2049" t="s">
        <v>1384</v>
      </c>
      <c r="K2049" t="s">
        <v>25</v>
      </c>
      <c r="L2049" t="s">
        <v>30</v>
      </c>
      <c r="M2049" t="b">
        <v>1</v>
      </c>
      <c r="N2049" t="s">
        <v>280</v>
      </c>
      <c r="Q2049" t="b">
        <v>0</v>
      </c>
      <c r="T2049" t="str">
        <f>"9780310437482"</f>
        <v>9780310437482</v>
      </c>
      <c r="U2049" t="b">
        <v>0</v>
      </c>
      <c r="W2049" t="b">
        <v>0</v>
      </c>
    </row>
    <row r="2050" spans="1:23" x14ac:dyDescent="0.3">
      <c r="A2050">
        <v>2980637</v>
      </c>
      <c r="B2050">
        <v>68.97</v>
      </c>
      <c r="C2050" t="s">
        <v>4618</v>
      </c>
      <c r="E2050" t="s">
        <v>23</v>
      </c>
      <c r="F2050" t="s">
        <v>44</v>
      </c>
      <c r="G2050">
        <v>2018</v>
      </c>
      <c r="H2050" t="s">
        <v>132</v>
      </c>
      <c r="K2050" t="s">
        <v>25</v>
      </c>
      <c r="L2050" t="s">
        <v>26</v>
      </c>
      <c r="M2050" t="b">
        <v>1</v>
      </c>
      <c r="N2050" t="s">
        <v>2825</v>
      </c>
      <c r="Q2050" t="b">
        <v>0</v>
      </c>
      <c r="S2050" t="str">
        <f>"9780310092025"</f>
        <v>9780310092025</v>
      </c>
      <c r="T2050" t="str">
        <f>"9780310092988"</f>
        <v>9780310092988</v>
      </c>
      <c r="U2050" t="b">
        <v>0</v>
      </c>
      <c r="W2050" t="b">
        <v>0</v>
      </c>
    </row>
    <row r="2051" spans="1:23" x14ac:dyDescent="0.3">
      <c r="A2051">
        <v>2980636</v>
      </c>
      <c r="B2051">
        <v>35.5</v>
      </c>
      <c r="C2051" t="s">
        <v>4619</v>
      </c>
      <c r="E2051" t="s">
        <v>23</v>
      </c>
      <c r="F2051" t="s">
        <v>44</v>
      </c>
      <c r="G2051">
        <v>2010</v>
      </c>
      <c r="H2051" t="s">
        <v>62</v>
      </c>
      <c r="K2051" t="s">
        <v>25</v>
      </c>
      <c r="L2051" t="s">
        <v>30</v>
      </c>
      <c r="M2051" t="b">
        <v>1</v>
      </c>
      <c r="N2051" t="s">
        <v>2689</v>
      </c>
      <c r="Q2051" t="b">
        <v>0</v>
      </c>
      <c r="T2051" t="str">
        <f>"9780310870463"</f>
        <v>9780310870463</v>
      </c>
      <c r="U2051" t="b">
        <v>0</v>
      </c>
      <c r="W2051" t="b">
        <v>0</v>
      </c>
    </row>
    <row r="2052" spans="1:23" x14ac:dyDescent="0.3">
      <c r="A2052">
        <v>2980635</v>
      </c>
      <c r="B2052">
        <v>28.39</v>
      </c>
      <c r="C2052" t="s">
        <v>4620</v>
      </c>
      <c r="E2052" t="s">
        <v>23</v>
      </c>
      <c r="F2052" t="s">
        <v>44</v>
      </c>
      <c r="G2052">
        <v>2009</v>
      </c>
      <c r="H2052" t="s">
        <v>3365</v>
      </c>
      <c r="K2052" t="s">
        <v>25</v>
      </c>
      <c r="L2052" t="s">
        <v>30</v>
      </c>
      <c r="M2052" t="b">
        <v>1</v>
      </c>
      <c r="N2052" t="s">
        <v>1721</v>
      </c>
      <c r="P2052" t="s">
        <v>3366</v>
      </c>
      <c r="Q2052" t="b">
        <v>0</v>
      </c>
      <c r="T2052" t="str">
        <f>"9780310865773"</f>
        <v>9780310865773</v>
      </c>
      <c r="U2052" t="b">
        <v>0</v>
      </c>
      <c r="W2052" t="b">
        <v>0</v>
      </c>
    </row>
    <row r="2053" spans="1:23" x14ac:dyDescent="0.3">
      <c r="A2053">
        <v>2980634</v>
      </c>
      <c r="B2053">
        <v>44.82</v>
      </c>
      <c r="C2053" t="s">
        <v>4621</v>
      </c>
      <c r="E2053" t="s">
        <v>23</v>
      </c>
      <c r="F2053" t="s">
        <v>44</v>
      </c>
      <c r="G2053">
        <v>2016</v>
      </c>
      <c r="H2053" t="s">
        <v>3986</v>
      </c>
      <c r="K2053" t="s">
        <v>25</v>
      </c>
      <c r="L2053" t="s">
        <v>26</v>
      </c>
      <c r="M2053" t="b">
        <v>1</v>
      </c>
      <c r="N2053" t="s">
        <v>2609</v>
      </c>
      <c r="Q2053" t="b">
        <v>0</v>
      </c>
      <c r="S2053" t="str">
        <f>"9780310749370"</f>
        <v>9780310749370</v>
      </c>
      <c r="T2053" t="str">
        <f>"9780310749134"</f>
        <v>9780310749134</v>
      </c>
      <c r="U2053" t="b">
        <v>0</v>
      </c>
      <c r="W2053" t="b">
        <v>0</v>
      </c>
    </row>
    <row r="2054" spans="1:23" x14ac:dyDescent="0.3">
      <c r="A2054">
        <v>2980633</v>
      </c>
      <c r="B2054">
        <v>42.61</v>
      </c>
      <c r="C2054" t="s">
        <v>4622</v>
      </c>
      <c r="D2054" t="s">
        <v>4623</v>
      </c>
      <c r="E2054" t="s">
        <v>23</v>
      </c>
      <c r="F2054" t="s">
        <v>44</v>
      </c>
      <c r="G2054">
        <v>2011</v>
      </c>
      <c r="H2054" t="s">
        <v>107</v>
      </c>
      <c r="K2054" t="s">
        <v>25</v>
      </c>
      <c r="L2054" t="s">
        <v>30</v>
      </c>
      <c r="M2054" t="b">
        <v>1</v>
      </c>
      <c r="N2054" t="s">
        <v>4624</v>
      </c>
      <c r="Q2054" t="b">
        <v>0</v>
      </c>
      <c r="T2054" t="str">
        <f>"9780310325604"</f>
        <v>9780310325604</v>
      </c>
      <c r="U2054" t="b">
        <v>0</v>
      </c>
      <c r="W2054" t="b">
        <v>0</v>
      </c>
    </row>
    <row r="2055" spans="1:23" x14ac:dyDescent="0.3">
      <c r="A2055">
        <v>2980632</v>
      </c>
      <c r="B2055">
        <v>34.47</v>
      </c>
      <c r="C2055" t="s">
        <v>4625</v>
      </c>
      <c r="E2055" t="s">
        <v>23</v>
      </c>
      <c r="F2055" t="s">
        <v>44</v>
      </c>
      <c r="G2055">
        <v>2011</v>
      </c>
      <c r="H2055" t="s">
        <v>4626</v>
      </c>
      <c r="K2055" t="s">
        <v>25</v>
      </c>
      <c r="L2055" t="s">
        <v>30</v>
      </c>
      <c r="M2055" t="b">
        <v>1</v>
      </c>
      <c r="N2055" t="s">
        <v>4627</v>
      </c>
      <c r="Q2055" t="b">
        <v>0</v>
      </c>
      <c r="S2055" t="str">
        <f>"9780310721444"</f>
        <v>9780310721444</v>
      </c>
      <c r="T2055" t="str">
        <f>"9780310408000"</f>
        <v>9780310408000</v>
      </c>
      <c r="U2055" t="b">
        <v>0</v>
      </c>
      <c r="W2055" t="b">
        <v>0</v>
      </c>
    </row>
    <row r="2056" spans="1:23" x14ac:dyDescent="0.3">
      <c r="A2056">
        <v>2980631</v>
      </c>
      <c r="B2056">
        <v>55.17</v>
      </c>
      <c r="C2056" t="s">
        <v>4628</v>
      </c>
      <c r="E2056" t="s">
        <v>23</v>
      </c>
      <c r="F2056" t="s">
        <v>44</v>
      </c>
      <c r="G2056">
        <v>2010</v>
      </c>
      <c r="H2056" t="s">
        <v>74</v>
      </c>
      <c r="K2056" t="s">
        <v>25</v>
      </c>
      <c r="L2056" t="s">
        <v>30</v>
      </c>
      <c r="M2056" t="b">
        <v>1</v>
      </c>
      <c r="N2056" t="s">
        <v>31</v>
      </c>
      <c r="P2056" t="s">
        <v>4070</v>
      </c>
      <c r="Q2056" t="b">
        <v>1</v>
      </c>
      <c r="S2056" t="str">
        <f>"9780310342632"</f>
        <v>9780310342632</v>
      </c>
      <c r="T2056" t="str">
        <f>"9780310561620"</f>
        <v>9780310561620</v>
      </c>
      <c r="U2056" t="b">
        <v>0</v>
      </c>
      <c r="W2056" t="b">
        <v>0</v>
      </c>
    </row>
    <row r="2057" spans="1:23" x14ac:dyDescent="0.3">
      <c r="A2057">
        <v>2980630</v>
      </c>
      <c r="B2057">
        <v>68.97</v>
      </c>
      <c r="C2057" t="s">
        <v>4629</v>
      </c>
      <c r="D2057" t="s">
        <v>4630</v>
      </c>
      <c r="E2057" t="s">
        <v>23</v>
      </c>
      <c r="F2057" t="s">
        <v>44</v>
      </c>
      <c r="G2057">
        <v>2018</v>
      </c>
      <c r="H2057" t="s">
        <v>1204</v>
      </c>
      <c r="K2057" t="s">
        <v>25</v>
      </c>
      <c r="L2057" t="s">
        <v>26</v>
      </c>
      <c r="M2057" t="b">
        <v>1</v>
      </c>
      <c r="N2057" t="s">
        <v>2774</v>
      </c>
      <c r="Q2057" t="b">
        <v>0</v>
      </c>
      <c r="S2057" t="str">
        <f>"9780310349983"</f>
        <v>9780310349983</v>
      </c>
      <c r="T2057" t="str">
        <f>"9780310350187"</f>
        <v>9780310350187</v>
      </c>
      <c r="U2057" t="b">
        <v>0</v>
      </c>
      <c r="W2057" t="b">
        <v>0</v>
      </c>
    </row>
    <row r="2058" spans="1:23" x14ac:dyDescent="0.3">
      <c r="A2058">
        <v>2980629</v>
      </c>
      <c r="B2058">
        <v>34.47</v>
      </c>
      <c r="C2058" t="s">
        <v>4631</v>
      </c>
      <c r="E2058" t="s">
        <v>23</v>
      </c>
      <c r="F2058" t="s">
        <v>44</v>
      </c>
      <c r="G2058">
        <v>2020</v>
      </c>
      <c r="H2058" t="s">
        <v>772</v>
      </c>
      <c r="K2058" t="s">
        <v>25</v>
      </c>
      <c r="L2058" t="s">
        <v>26</v>
      </c>
      <c r="M2058" t="b">
        <v>1</v>
      </c>
      <c r="N2058" t="s">
        <v>776</v>
      </c>
      <c r="P2058" t="s">
        <v>1065</v>
      </c>
      <c r="Q2058" t="b">
        <v>1</v>
      </c>
      <c r="S2058" t="str">
        <f>"9780310356479"</f>
        <v>9780310356479</v>
      </c>
      <c r="T2058" t="str">
        <f>"9780310356462"</f>
        <v>9780310356462</v>
      </c>
      <c r="U2058" t="b">
        <v>0</v>
      </c>
      <c r="W2058" t="b">
        <v>0</v>
      </c>
    </row>
    <row r="2059" spans="1:23" x14ac:dyDescent="0.3">
      <c r="A2059">
        <v>2980628</v>
      </c>
      <c r="B2059">
        <v>37.92</v>
      </c>
      <c r="C2059" t="s">
        <v>4632</v>
      </c>
      <c r="E2059" t="s">
        <v>23</v>
      </c>
      <c r="F2059" t="s">
        <v>44</v>
      </c>
      <c r="G2059">
        <v>2009</v>
      </c>
      <c r="H2059" t="s">
        <v>728</v>
      </c>
      <c r="K2059" t="s">
        <v>25</v>
      </c>
      <c r="L2059" t="s">
        <v>30</v>
      </c>
      <c r="M2059" t="b">
        <v>1</v>
      </c>
      <c r="N2059" t="s">
        <v>3866</v>
      </c>
      <c r="P2059" t="s">
        <v>3867</v>
      </c>
      <c r="Q2059" t="b">
        <v>1</v>
      </c>
      <c r="S2059" t="str">
        <f>"9780310292753"</f>
        <v>9780310292753</v>
      </c>
      <c r="T2059" t="str">
        <f>"9780310864110"</f>
        <v>9780310864110</v>
      </c>
      <c r="U2059" t="b">
        <v>0</v>
      </c>
      <c r="W2059" t="b">
        <v>0</v>
      </c>
    </row>
    <row r="2060" spans="1:23" x14ac:dyDescent="0.3">
      <c r="A2060">
        <v>2980627</v>
      </c>
      <c r="B2060">
        <v>86.22</v>
      </c>
      <c r="C2060" t="s">
        <v>4633</v>
      </c>
      <c r="D2060" t="s">
        <v>4634</v>
      </c>
      <c r="E2060" t="s">
        <v>23</v>
      </c>
      <c r="F2060" t="s">
        <v>44</v>
      </c>
      <c r="G2060">
        <v>2017</v>
      </c>
      <c r="H2060" t="s">
        <v>132</v>
      </c>
      <c r="K2060" t="s">
        <v>25</v>
      </c>
      <c r="L2060" t="s">
        <v>26</v>
      </c>
      <c r="M2060" t="b">
        <v>1</v>
      </c>
      <c r="N2060" t="s">
        <v>3760</v>
      </c>
      <c r="Q2060" t="b">
        <v>0</v>
      </c>
      <c r="S2060" t="str">
        <f>"9780310346746"</f>
        <v>9780310346746</v>
      </c>
      <c r="T2060" t="str">
        <f>"9780310346753"</f>
        <v>9780310346753</v>
      </c>
      <c r="U2060" t="b">
        <v>0</v>
      </c>
      <c r="W2060" t="b">
        <v>0</v>
      </c>
    </row>
    <row r="2061" spans="1:23" x14ac:dyDescent="0.3">
      <c r="A2061">
        <v>2980626</v>
      </c>
      <c r="B2061">
        <v>55.17</v>
      </c>
      <c r="C2061" t="s">
        <v>4635</v>
      </c>
      <c r="D2061" t="s">
        <v>4636</v>
      </c>
      <c r="E2061" t="s">
        <v>23</v>
      </c>
      <c r="F2061" t="s">
        <v>44</v>
      </c>
      <c r="G2061">
        <v>2014</v>
      </c>
      <c r="H2061" t="s">
        <v>58</v>
      </c>
      <c r="K2061" t="s">
        <v>25</v>
      </c>
      <c r="L2061" t="s">
        <v>30</v>
      </c>
      <c r="M2061" t="b">
        <v>1</v>
      </c>
      <c r="N2061" t="s">
        <v>4637</v>
      </c>
      <c r="Q2061" t="b">
        <v>0</v>
      </c>
      <c r="S2061" t="str">
        <f>"9780310338581"</f>
        <v>9780310338581</v>
      </c>
      <c r="T2061" t="str">
        <f>"9780310338574"</f>
        <v>9780310338574</v>
      </c>
      <c r="U2061" t="b">
        <v>0</v>
      </c>
      <c r="W2061" t="b">
        <v>0</v>
      </c>
    </row>
    <row r="2062" spans="1:23" x14ac:dyDescent="0.3">
      <c r="A2062">
        <v>2980625</v>
      </c>
      <c r="B2062">
        <v>58.62</v>
      </c>
      <c r="C2062" t="s">
        <v>4638</v>
      </c>
      <c r="E2062" t="s">
        <v>23</v>
      </c>
      <c r="F2062" t="s">
        <v>44</v>
      </c>
      <c r="G2062">
        <v>2011</v>
      </c>
      <c r="H2062" t="s">
        <v>4639</v>
      </c>
      <c r="K2062" t="s">
        <v>25</v>
      </c>
      <c r="L2062" t="s">
        <v>30</v>
      </c>
      <c r="M2062" t="b">
        <v>1</v>
      </c>
      <c r="N2062" t="s">
        <v>4640</v>
      </c>
      <c r="P2062" t="s">
        <v>4641</v>
      </c>
      <c r="Q2062" t="b">
        <v>0</v>
      </c>
      <c r="S2062" t="str">
        <f>"9780310225737"</f>
        <v>9780310225737</v>
      </c>
      <c r="T2062" t="str">
        <f>"9780310315759"</f>
        <v>9780310315759</v>
      </c>
      <c r="U2062" t="b">
        <v>0</v>
      </c>
      <c r="W2062" t="b">
        <v>0</v>
      </c>
    </row>
    <row r="2063" spans="1:23" x14ac:dyDescent="0.3">
      <c r="A2063">
        <v>2980624</v>
      </c>
      <c r="B2063">
        <v>86.22</v>
      </c>
      <c r="C2063" t="s">
        <v>4642</v>
      </c>
      <c r="D2063" t="s">
        <v>4643</v>
      </c>
      <c r="E2063" t="s">
        <v>23</v>
      </c>
      <c r="F2063" t="s">
        <v>44</v>
      </c>
      <c r="G2063">
        <v>2019</v>
      </c>
      <c r="H2063" t="s">
        <v>58</v>
      </c>
      <c r="K2063" t="s">
        <v>25</v>
      </c>
      <c r="L2063" t="s">
        <v>26</v>
      </c>
      <c r="M2063" t="b">
        <v>1</v>
      </c>
      <c r="N2063" t="s">
        <v>4644</v>
      </c>
      <c r="Q2063" t="b">
        <v>0</v>
      </c>
      <c r="S2063" t="str">
        <f>"9780310355212"</f>
        <v>9780310355212</v>
      </c>
      <c r="T2063" t="str">
        <f>"9780310355229"</f>
        <v>9780310355229</v>
      </c>
      <c r="U2063" t="b">
        <v>0</v>
      </c>
      <c r="W2063" t="b">
        <v>0</v>
      </c>
    </row>
    <row r="2064" spans="1:23" x14ac:dyDescent="0.3">
      <c r="A2064">
        <v>2980623</v>
      </c>
      <c r="B2064">
        <v>39.049999999999997</v>
      </c>
      <c r="C2064" t="s">
        <v>4645</v>
      </c>
      <c r="D2064" t="s">
        <v>4646</v>
      </c>
      <c r="E2064" t="s">
        <v>23</v>
      </c>
      <c r="F2064" t="s">
        <v>44</v>
      </c>
      <c r="G2064">
        <v>2009</v>
      </c>
      <c r="H2064" t="s">
        <v>68</v>
      </c>
      <c r="K2064" t="s">
        <v>25</v>
      </c>
      <c r="L2064" t="s">
        <v>30</v>
      </c>
      <c r="M2064" t="b">
        <v>1</v>
      </c>
      <c r="N2064" t="s">
        <v>4647</v>
      </c>
      <c r="Q2064" t="b">
        <v>0</v>
      </c>
      <c r="T2064" t="str">
        <f>"9780310864011"</f>
        <v>9780310864011</v>
      </c>
      <c r="U2064" t="b">
        <v>0</v>
      </c>
      <c r="W2064" t="b">
        <v>0</v>
      </c>
    </row>
    <row r="2065" spans="1:23" x14ac:dyDescent="0.3">
      <c r="A2065">
        <v>2980622</v>
      </c>
      <c r="B2065">
        <v>17.22</v>
      </c>
      <c r="C2065" t="s">
        <v>4648</v>
      </c>
      <c r="E2065" t="s">
        <v>23</v>
      </c>
      <c r="F2065" t="s">
        <v>44</v>
      </c>
      <c r="G2065">
        <v>2009</v>
      </c>
      <c r="H2065" t="s">
        <v>1746</v>
      </c>
      <c r="K2065" t="s">
        <v>25</v>
      </c>
      <c r="L2065" t="s">
        <v>30</v>
      </c>
      <c r="M2065" t="b">
        <v>1</v>
      </c>
      <c r="N2065" t="s">
        <v>1346</v>
      </c>
      <c r="P2065" t="s">
        <v>1347</v>
      </c>
      <c r="Q2065" t="b">
        <v>1</v>
      </c>
      <c r="S2065" t="str">
        <f>"9780310717928"</f>
        <v>9780310717928</v>
      </c>
      <c r="T2065" t="str">
        <f>"9780310862499"</f>
        <v>9780310862499</v>
      </c>
      <c r="U2065" t="b">
        <v>0</v>
      </c>
      <c r="W2065" t="b">
        <v>0</v>
      </c>
    </row>
    <row r="2066" spans="1:23" x14ac:dyDescent="0.3">
      <c r="A2066">
        <v>2980621</v>
      </c>
      <c r="B2066">
        <v>51.72</v>
      </c>
      <c r="C2066" t="s">
        <v>4649</v>
      </c>
      <c r="D2066" t="s">
        <v>2602</v>
      </c>
      <c r="E2066" t="s">
        <v>23</v>
      </c>
      <c r="F2066" t="s">
        <v>44</v>
      </c>
      <c r="G2066">
        <v>2021</v>
      </c>
      <c r="H2066" t="s">
        <v>70</v>
      </c>
      <c r="K2066" t="s">
        <v>25</v>
      </c>
      <c r="L2066" t="s">
        <v>26</v>
      </c>
      <c r="M2066" t="b">
        <v>1</v>
      </c>
      <c r="N2066" t="s">
        <v>949</v>
      </c>
      <c r="Q2066" t="b">
        <v>0</v>
      </c>
      <c r="S2066" t="str">
        <f>"9780310108375"</f>
        <v>9780310108375</v>
      </c>
      <c r="T2066" t="str">
        <f>"9780310108382"</f>
        <v>9780310108382</v>
      </c>
      <c r="U2066" t="b">
        <v>0</v>
      </c>
      <c r="W2066" t="b">
        <v>0</v>
      </c>
    </row>
    <row r="2067" spans="1:23" x14ac:dyDescent="0.3">
      <c r="A2067">
        <v>2980620</v>
      </c>
      <c r="B2067">
        <v>35.5</v>
      </c>
      <c r="C2067" t="s">
        <v>4650</v>
      </c>
      <c r="E2067" t="s">
        <v>23</v>
      </c>
      <c r="F2067" t="s">
        <v>44</v>
      </c>
      <c r="G2067">
        <v>2010</v>
      </c>
      <c r="H2067" t="s">
        <v>4029</v>
      </c>
      <c r="K2067" t="s">
        <v>25</v>
      </c>
      <c r="L2067" t="s">
        <v>30</v>
      </c>
      <c r="M2067" t="b">
        <v>1</v>
      </c>
      <c r="N2067" t="s">
        <v>408</v>
      </c>
      <c r="P2067" t="s">
        <v>4030</v>
      </c>
      <c r="Q2067" t="b">
        <v>0</v>
      </c>
      <c r="T2067" t="str">
        <f>"9780310426721"</f>
        <v>9780310426721</v>
      </c>
      <c r="U2067" t="b">
        <v>0</v>
      </c>
      <c r="W2067" t="b">
        <v>0</v>
      </c>
    </row>
    <row r="2068" spans="1:23" x14ac:dyDescent="0.3">
      <c r="A2068">
        <v>2980619</v>
      </c>
      <c r="B2068">
        <v>39.049999999999997</v>
      </c>
      <c r="C2068" t="s">
        <v>4651</v>
      </c>
      <c r="E2068" t="s">
        <v>23</v>
      </c>
      <c r="F2068" t="s">
        <v>44</v>
      </c>
      <c r="G2068">
        <v>2009</v>
      </c>
      <c r="H2068" t="s">
        <v>728</v>
      </c>
      <c r="K2068" t="s">
        <v>25</v>
      </c>
      <c r="L2068" t="s">
        <v>30</v>
      </c>
      <c r="M2068" t="b">
        <v>1</v>
      </c>
      <c r="N2068" t="s">
        <v>2902</v>
      </c>
      <c r="Q2068" t="b">
        <v>1</v>
      </c>
      <c r="T2068" t="str">
        <f>"9780310861911"</f>
        <v>9780310861911</v>
      </c>
      <c r="U2068" t="b">
        <v>0</v>
      </c>
      <c r="W2068" t="b">
        <v>0</v>
      </c>
    </row>
    <row r="2069" spans="1:23" x14ac:dyDescent="0.3">
      <c r="A2069">
        <v>2980618</v>
      </c>
      <c r="B2069">
        <v>68.97</v>
      </c>
      <c r="C2069" t="s">
        <v>4652</v>
      </c>
      <c r="D2069" t="s">
        <v>4653</v>
      </c>
      <c r="E2069" t="s">
        <v>23</v>
      </c>
      <c r="F2069" t="s">
        <v>44</v>
      </c>
      <c r="G2069">
        <v>2018</v>
      </c>
      <c r="H2069" t="s">
        <v>132</v>
      </c>
      <c r="K2069" t="s">
        <v>25</v>
      </c>
      <c r="L2069" t="s">
        <v>26</v>
      </c>
      <c r="M2069" t="b">
        <v>1</v>
      </c>
      <c r="N2069" t="s">
        <v>4654</v>
      </c>
      <c r="Q2069" t="b">
        <v>0</v>
      </c>
      <c r="S2069" t="str">
        <f>"9780310095453"</f>
        <v>9780310095453</v>
      </c>
      <c r="T2069" t="str">
        <f>"9780310095460"</f>
        <v>9780310095460</v>
      </c>
      <c r="U2069" t="b">
        <v>0</v>
      </c>
      <c r="W2069" t="b">
        <v>0</v>
      </c>
    </row>
    <row r="2070" spans="1:23" x14ac:dyDescent="0.3">
      <c r="A2070">
        <v>2980617</v>
      </c>
      <c r="B2070">
        <v>113.68</v>
      </c>
      <c r="C2070" t="s">
        <v>4655</v>
      </c>
      <c r="D2070" t="s">
        <v>4656</v>
      </c>
      <c r="E2070" t="s">
        <v>23</v>
      </c>
      <c r="F2070" t="s">
        <v>44</v>
      </c>
      <c r="G2070">
        <v>2019</v>
      </c>
      <c r="H2070" t="s">
        <v>772</v>
      </c>
      <c r="K2070" t="s">
        <v>25</v>
      </c>
      <c r="L2070" t="s">
        <v>30</v>
      </c>
      <c r="M2070" t="b">
        <v>1</v>
      </c>
      <c r="N2070" t="s">
        <v>773</v>
      </c>
      <c r="P2070" t="s">
        <v>4657</v>
      </c>
      <c r="Q2070" t="b">
        <v>1</v>
      </c>
      <c r="T2070" t="str">
        <f>"9780310357100"</f>
        <v>9780310357100</v>
      </c>
      <c r="U2070" t="b">
        <v>0</v>
      </c>
      <c r="W2070" t="b">
        <v>0</v>
      </c>
    </row>
    <row r="2071" spans="1:23" x14ac:dyDescent="0.3">
      <c r="A2071">
        <v>2980616</v>
      </c>
      <c r="B2071">
        <v>85.25</v>
      </c>
      <c r="C2071" t="s">
        <v>4658</v>
      </c>
      <c r="D2071" t="s">
        <v>4659</v>
      </c>
      <c r="E2071" t="s">
        <v>23</v>
      </c>
      <c r="F2071" t="s">
        <v>44</v>
      </c>
      <c r="G2071">
        <v>2018</v>
      </c>
      <c r="H2071" t="s">
        <v>849</v>
      </c>
      <c r="K2071" t="s">
        <v>25</v>
      </c>
      <c r="L2071" t="s">
        <v>30</v>
      </c>
      <c r="M2071" t="b">
        <v>1</v>
      </c>
      <c r="N2071" t="s">
        <v>77</v>
      </c>
      <c r="P2071" t="s">
        <v>4041</v>
      </c>
      <c r="Q2071" t="b">
        <v>1</v>
      </c>
      <c r="T2071" t="str">
        <f>"9780310347842"</f>
        <v>9780310347842</v>
      </c>
      <c r="U2071" t="b">
        <v>0</v>
      </c>
      <c r="W2071" t="b">
        <v>0</v>
      </c>
    </row>
    <row r="2072" spans="1:23" x14ac:dyDescent="0.3">
      <c r="A2072">
        <v>2980615</v>
      </c>
      <c r="B2072">
        <v>56.82</v>
      </c>
      <c r="C2072" t="s">
        <v>4660</v>
      </c>
      <c r="D2072" t="s">
        <v>4661</v>
      </c>
      <c r="E2072" t="s">
        <v>23</v>
      </c>
      <c r="F2072" t="s">
        <v>44</v>
      </c>
      <c r="G2072">
        <v>2009</v>
      </c>
      <c r="H2072" t="s">
        <v>69</v>
      </c>
      <c r="K2072" t="s">
        <v>25</v>
      </c>
      <c r="L2072" t="s">
        <v>30</v>
      </c>
      <c r="M2072" t="b">
        <v>1</v>
      </c>
      <c r="N2072" t="s">
        <v>2666</v>
      </c>
      <c r="Q2072" t="b">
        <v>0</v>
      </c>
      <c r="T2072" t="str">
        <f>"9780310867050"</f>
        <v>9780310867050</v>
      </c>
      <c r="U2072" t="b">
        <v>0</v>
      </c>
      <c r="W2072" t="b">
        <v>0</v>
      </c>
    </row>
    <row r="2073" spans="1:23" x14ac:dyDescent="0.3">
      <c r="A2073">
        <v>2980614</v>
      </c>
      <c r="B2073">
        <v>34.47</v>
      </c>
      <c r="C2073" t="s">
        <v>4662</v>
      </c>
      <c r="E2073" t="s">
        <v>23</v>
      </c>
      <c r="F2073" t="s">
        <v>44</v>
      </c>
      <c r="G2073">
        <v>2020</v>
      </c>
      <c r="H2073" t="s">
        <v>772</v>
      </c>
      <c r="K2073" t="s">
        <v>25</v>
      </c>
      <c r="L2073" t="s">
        <v>26</v>
      </c>
      <c r="M2073" t="b">
        <v>1</v>
      </c>
      <c r="N2073" t="s">
        <v>773</v>
      </c>
      <c r="P2073" t="s">
        <v>4663</v>
      </c>
      <c r="Q2073" t="b">
        <v>1</v>
      </c>
      <c r="S2073" t="str">
        <f>"9780310356769"</f>
        <v>9780310356769</v>
      </c>
      <c r="T2073" t="str">
        <f>"9780310356776"</f>
        <v>9780310356776</v>
      </c>
      <c r="U2073" t="b">
        <v>0</v>
      </c>
      <c r="W2073" t="b">
        <v>0</v>
      </c>
    </row>
    <row r="2074" spans="1:23" x14ac:dyDescent="0.3">
      <c r="A2074">
        <v>2980613</v>
      </c>
      <c r="B2074">
        <v>24.84</v>
      </c>
      <c r="C2074" t="s">
        <v>4664</v>
      </c>
      <c r="E2074" t="s">
        <v>23</v>
      </c>
      <c r="F2074" t="s">
        <v>44</v>
      </c>
      <c r="G2074">
        <v>2010</v>
      </c>
      <c r="H2074" t="s">
        <v>381</v>
      </c>
      <c r="K2074" t="s">
        <v>25</v>
      </c>
      <c r="L2074" t="s">
        <v>30</v>
      </c>
      <c r="M2074" t="b">
        <v>1</v>
      </c>
      <c r="N2074" t="s">
        <v>44</v>
      </c>
      <c r="Q2074" t="b">
        <v>0</v>
      </c>
      <c r="T2074" t="str">
        <f>"9780310870241"</f>
        <v>9780310870241</v>
      </c>
      <c r="U2074" t="b">
        <v>0</v>
      </c>
      <c r="W2074" t="b">
        <v>0</v>
      </c>
    </row>
    <row r="2075" spans="1:23" x14ac:dyDescent="0.3">
      <c r="A2075">
        <v>2980612</v>
      </c>
      <c r="B2075">
        <v>65.52</v>
      </c>
      <c r="C2075" t="s">
        <v>4665</v>
      </c>
      <c r="D2075" t="s">
        <v>4666</v>
      </c>
      <c r="E2075" t="s">
        <v>23</v>
      </c>
      <c r="F2075" t="s">
        <v>44</v>
      </c>
      <c r="G2075">
        <v>2021</v>
      </c>
      <c r="H2075" t="s">
        <v>69</v>
      </c>
      <c r="K2075" t="s">
        <v>25</v>
      </c>
      <c r="L2075" t="s">
        <v>26</v>
      </c>
      <c r="M2075" t="b">
        <v>1</v>
      </c>
      <c r="N2075" t="s">
        <v>4667</v>
      </c>
      <c r="Q2075" t="b">
        <v>0</v>
      </c>
      <c r="S2075" t="str">
        <f>"9780310360544"</f>
        <v>9780310360544</v>
      </c>
      <c r="T2075" t="str">
        <f>"9780310360551"</f>
        <v>9780310360551</v>
      </c>
      <c r="U2075" t="b">
        <v>0</v>
      </c>
      <c r="W2075" t="b">
        <v>0</v>
      </c>
    </row>
    <row r="2076" spans="1:23" x14ac:dyDescent="0.3">
      <c r="A2076">
        <v>2980611</v>
      </c>
      <c r="B2076">
        <v>56.82</v>
      </c>
      <c r="C2076" t="s">
        <v>4668</v>
      </c>
      <c r="D2076" t="s">
        <v>967</v>
      </c>
      <c r="E2076" t="s">
        <v>23</v>
      </c>
      <c r="F2076" t="s">
        <v>44</v>
      </c>
      <c r="G2076">
        <v>2017</v>
      </c>
      <c r="H2076" t="s">
        <v>132</v>
      </c>
      <c r="K2076" t="s">
        <v>25</v>
      </c>
      <c r="L2076" t="s">
        <v>26</v>
      </c>
      <c r="M2076" t="b">
        <v>1</v>
      </c>
      <c r="N2076" t="s">
        <v>968</v>
      </c>
      <c r="Q2076" t="b">
        <v>0</v>
      </c>
      <c r="T2076" t="str">
        <f>"9780310350286"</f>
        <v>9780310350286</v>
      </c>
      <c r="U2076" t="b">
        <v>0</v>
      </c>
      <c r="W2076" t="b">
        <v>0</v>
      </c>
    </row>
    <row r="2077" spans="1:23" x14ac:dyDescent="0.3">
      <c r="A2077">
        <v>2980610</v>
      </c>
      <c r="B2077">
        <v>44.82</v>
      </c>
      <c r="C2077" t="s">
        <v>4669</v>
      </c>
      <c r="D2077" t="s">
        <v>4670</v>
      </c>
      <c r="E2077" t="s">
        <v>23</v>
      </c>
      <c r="F2077" t="s">
        <v>44</v>
      </c>
      <c r="G2077">
        <v>2009</v>
      </c>
      <c r="H2077" t="s">
        <v>912</v>
      </c>
      <c r="K2077" t="s">
        <v>25</v>
      </c>
      <c r="L2077" t="s">
        <v>30</v>
      </c>
      <c r="M2077" t="b">
        <v>1</v>
      </c>
      <c r="N2077" t="s">
        <v>4171</v>
      </c>
      <c r="Q2077" t="b">
        <v>0</v>
      </c>
      <c r="S2077" t="str">
        <f>"9780310246633"</f>
        <v>9780310246633</v>
      </c>
      <c r="T2077" t="str">
        <f>"9780310862437"</f>
        <v>9780310862437</v>
      </c>
      <c r="U2077" t="b">
        <v>0</v>
      </c>
      <c r="W2077" t="b">
        <v>0</v>
      </c>
    </row>
    <row r="2078" spans="1:23" x14ac:dyDescent="0.3">
      <c r="A2078">
        <v>2980609</v>
      </c>
      <c r="B2078">
        <v>44.82</v>
      </c>
      <c r="C2078" t="s">
        <v>4671</v>
      </c>
      <c r="D2078" t="s">
        <v>4672</v>
      </c>
      <c r="E2078" t="s">
        <v>23</v>
      </c>
      <c r="F2078" t="s">
        <v>44</v>
      </c>
      <c r="G2078">
        <v>2009</v>
      </c>
      <c r="H2078" t="s">
        <v>24</v>
      </c>
      <c r="K2078" t="s">
        <v>25</v>
      </c>
      <c r="L2078" t="s">
        <v>30</v>
      </c>
      <c r="M2078" t="b">
        <v>1</v>
      </c>
      <c r="N2078" t="s">
        <v>4673</v>
      </c>
      <c r="Q2078" t="b">
        <v>0</v>
      </c>
      <c r="S2078" t="str">
        <f>"9780310240266"</f>
        <v>9780310240266</v>
      </c>
      <c r="T2078" t="str">
        <f>"9780310862338"</f>
        <v>9780310862338</v>
      </c>
      <c r="U2078" t="b">
        <v>0</v>
      </c>
      <c r="W2078" t="b">
        <v>0</v>
      </c>
    </row>
    <row r="2079" spans="1:23" x14ac:dyDescent="0.3">
      <c r="A2079">
        <v>2980608</v>
      </c>
      <c r="B2079">
        <v>42.61</v>
      </c>
      <c r="C2079" t="s">
        <v>4674</v>
      </c>
      <c r="E2079" t="s">
        <v>23</v>
      </c>
      <c r="F2079" t="s">
        <v>44</v>
      </c>
      <c r="G2079">
        <v>2009</v>
      </c>
      <c r="H2079" t="s">
        <v>58</v>
      </c>
      <c r="K2079" t="s">
        <v>25</v>
      </c>
      <c r="L2079" t="s">
        <v>30</v>
      </c>
      <c r="M2079" t="b">
        <v>1</v>
      </c>
      <c r="N2079" t="s">
        <v>4675</v>
      </c>
      <c r="Q2079" t="b">
        <v>0</v>
      </c>
      <c r="T2079" t="str">
        <f>"9780310864400"</f>
        <v>9780310864400</v>
      </c>
      <c r="U2079" t="b">
        <v>0</v>
      </c>
      <c r="W2079" t="b">
        <v>0</v>
      </c>
    </row>
    <row r="2080" spans="1:23" x14ac:dyDescent="0.3">
      <c r="A2080">
        <v>2980607</v>
      </c>
      <c r="B2080">
        <v>65.52</v>
      </c>
      <c r="C2080" t="s">
        <v>4676</v>
      </c>
      <c r="D2080" t="s">
        <v>4677</v>
      </c>
      <c r="E2080" t="s">
        <v>23</v>
      </c>
      <c r="F2080" t="s">
        <v>44</v>
      </c>
      <c r="G2080">
        <v>2018</v>
      </c>
      <c r="H2080" t="s">
        <v>56</v>
      </c>
      <c r="K2080" t="s">
        <v>25</v>
      </c>
      <c r="L2080" t="s">
        <v>26</v>
      </c>
      <c r="M2080" t="b">
        <v>1</v>
      </c>
      <c r="N2080" t="s">
        <v>4678</v>
      </c>
      <c r="Q2080" t="b">
        <v>0</v>
      </c>
      <c r="S2080" t="str">
        <f>"9780310350323"</f>
        <v>9780310350323</v>
      </c>
      <c r="T2080" t="str">
        <f>"9780310351375"</f>
        <v>9780310351375</v>
      </c>
      <c r="U2080" t="b">
        <v>0</v>
      </c>
      <c r="W2080" t="b">
        <v>0</v>
      </c>
    </row>
    <row r="2081" spans="1:23" x14ac:dyDescent="0.3">
      <c r="A2081">
        <v>2980606</v>
      </c>
      <c r="B2081">
        <v>55.17</v>
      </c>
      <c r="C2081" t="s">
        <v>4679</v>
      </c>
      <c r="E2081" t="s">
        <v>23</v>
      </c>
      <c r="F2081" t="s">
        <v>44</v>
      </c>
      <c r="G2081">
        <v>2012</v>
      </c>
      <c r="H2081" t="s">
        <v>728</v>
      </c>
      <c r="K2081" t="s">
        <v>25</v>
      </c>
      <c r="L2081" t="s">
        <v>30</v>
      </c>
      <c r="M2081" t="b">
        <v>1</v>
      </c>
      <c r="N2081" t="s">
        <v>31</v>
      </c>
      <c r="P2081" t="s">
        <v>2732</v>
      </c>
      <c r="Q2081" t="b">
        <v>1</v>
      </c>
      <c r="S2081" t="str">
        <f>"9780310276357"</f>
        <v>9780310276357</v>
      </c>
      <c r="T2081" t="str">
        <f>"9780310427599"</f>
        <v>9780310427599</v>
      </c>
      <c r="U2081" t="b">
        <v>0</v>
      </c>
      <c r="W2081" t="b">
        <v>0</v>
      </c>
    </row>
    <row r="2082" spans="1:23" x14ac:dyDescent="0.3">
      <c r="A2082">
        <v>2980605</v>
      </c>
      <c r="B2082">
        <v>89.67</v>
      </c>
      <c r="C2082" t="s">
        <v>4680</v>
      </c>
      <c r="D2082" t="s">
        <v>4681</v>
      </c>
      <c r="E2082" t="s">
        <v>23</v>
      </c>
      <c r="F2082" t="s">
        <v>44</v>
      </c>
      <c r="G2082">
        <v>2019</v>
      </c>
      <c r="H2082" t="s">
        <v>89</v>
      </c>
      <c r="K2082" t="s">
        <v>25</v>
      </c>
      <c r="L2082" t="s">
        <v>26</v>
      </c>
      <c r="M2082" t="b">
        <v>1</v>
      </c>
      <c r="N2082" t="s">
        <v>197</v>
      </c>
      <c r="Q2082" t="b">
        <v>0</v>
      </c>
      <c r="S2082" t="str">
        <f>"9780310352303"</f>
        <v>9780310352303</v>
      </c>
      <c r="T2082" t="str">
        <f>"9780310352310"</f>
        <v>9780310352310</v>
      </c>
      <c r="U2082" t="b">
        <v>0</v>
      </c>
      <c r="W2082" t="b">
        <v>0</v>
      </c>
    </row>
    <row r="2083" spans="1:23" x14ac:dyDescent="0.3">
      <c r="A2083">
        <v>2980604</v>
      </c>
      <c r="B2083">
        <v>37.92</v>
      </c>
      <c r="C2083" t="s">
        <v>4682</v>
      </c>
      <c r="D2083" t="s">
        <v>4683</v>
      </c>
      <c r="E2083" t="s">
        <v>23</v>
      </c>
      <c r="F2083" t="s">
        <v>44</v>
      </c>
      <c r="G2083">
        <v>2010</v>
      </c>
      <c r="H2083" t="s">
        <v>132</v>
      </c>
      <c r="K2083" t="s">
        <v>25</v>
      </c>
      <c r="L2083" t="s">
        <v>30</v>
      </c>
      <c r="M2083" t="b">
        <v>1</v>
      </c>
      <c r="N2083" t="s">
        <v>4684</v>
      </c>
      <c r="Q2083" t="b">
        <v>0</v>
      </c>
      <c r="S2083" t="str">
        <f>"9780310228653"</f>
        <v>9780310228653</v>
      </c>
      <c r="T2083" t="str">
        <f>"9780310861768"</f>
        <v>9780310861768</v>
      </c>
      <c r="U2083" t="b">
        <v>0</v>
      </c>
      <c r="W2083" t="b">
        <v>0</v>
      </c>
    </row>
    <row r="2084" spans="1:23" x14ac:dyDescent="0.3">
      <c r="A2084">
        <v>2980603</v>
      </c>
      <c r="B2084">
        <v>44.82</v>
      </c>
      <c r="C2084" t="s">
        <v>4685</v>
      </c>
      <c r="D2084" t="s">
        <v>4686</v>
      </c>
      <c r="E2084" t="s">
        <v>23</v>
      </c>
      <c r="F2084" t="s">
        <v>44</v>
      </c>
      <c r="G2084">
        <v>2009</v>
      </c>
      <c r="H2084" t="s">
        <v>1080</v>
      </c>
      <c r="K2084" t="s">
        <v>25</v>
      </c>
      <c r="L2084" t="s">
        <v>30</v>
      </c>
      <c r="M2084" t="b">
        <v>1</v>
      </c>
      <c r="N2084" t="s">
        <v>2509</v>
      </c>
      <c r="Q2084" t="b">
        <v>0</v>
      </c>
      <c r="S2084" t="str">
        <f>"9780310223498"</f>
        <v>9780310223498</v>
      </c>
      <c r="T2084" t="str">
        <f>"9780310565666"</f>
        <v>9780310565666</v>
      </c>
      <c r="U2084" t="b">
        <v>0</v>
      </c>
      <c r="W2084" t="b">
        <v>0</v>
      </c>
    </row>
    <row r="2085" spans="1:23" x14ac:dyDescent="0.3">
      <c r="A2085">
        <v>2980602</v>
      </c>
      <c r="B2085">
        <v>7.07</v>
      </c>
      <c r="C2085" t="s">
        <v>4687</v>
      </c>
      <c r="E2085" t="s">
        <v>23</v>
      </c>
      <c r="F2085" t="s">
        <v>44</v>
      </c>
      <c r="G2085">
        <v>2015</v>
      </c>
      <c r="H2085" t="s">
        <v>1384</v>
      </c>
      <c r="K2085" t="s">
        <v>25</v>
      </c>
      <c r="L2085" t="s">
        <v>30</v>
      </c>
      <c r="M2085" t="b">
        <v>1</v>
      </c>
      <c r="N2085" t="s">
        <v>44</v>
      </c>
      <c r="Q2085" t="b">
        <v>0</v>
      </c>
      <c r="T2085" t="str">
        <f>"9780310437628"</f>
        <v>9780310437628</v>
      </c>
      <c r="U2085" t="b">
        <v>0</v>
      </c>
      <c r="W2085" t="b">
        <v>0</v>
      </c>
    </row>
    <row r="2086" spans="1:23" x14ac:dyDescent="0.3">
      <c r="A2086">
        <v>2980601</v>
      </c>
      <c r="B2086">
        <v>55.17</v>
      </c>
      <c r="C2086" t="s">
        <v>4688</v>
      </c>
      <c r="D2086" t="s">
        <v>4689</v>
      </c>
      <c r="E2086" t="s">
        <v>23</v>
      </c>
      <c r="F2086" t="s">
        <v>44</v>
      </c>
      <c r="G2086">
        <v>2016</v>
      </c>
      <c r="H2086" t="s">
        <v>58</v>
      </c>
      <c r="K2086" t="s">
        <v>25</v>
      </c>
      <c r="L2086" t="s">
        <v>26</v>
      </c>
      <c r="M2086" t="b">
        <v>1</v>
      </c>
      <c r="N2086" t="s">
        <v>4383</v>
      </c>
      <c r="Q2086" t="b">
        <v>0</v>
      </c>
      <c r="S2086" t="str">
        <f>"9780310344995"</f>
        <v>9780310344995</v>
      </c>
      <c r="T2086" t="str">
        <f>"9780310344940"</f>
        <v>9780310344940</v>
      </c>
      <c r="U2086" t="b">
        <v>0</v>
      </c>
      <c r="W2086" t="b">
        <v>0</v>
      </c>
    </row>
    <row r="2087" spans="1:23" x14ac:dyDescent="0.3">
      <c r="A2087">
        <v>2980600</v>
      </c>
      <c r="B2087">
        <v>51.72</v>
      </c>
      <c r="C2087" t="s">
        <v>4690</v>
      </c>
      <c r="E2087" t="s">
        <v>23</v>
      </c>
      <c r="F2087" t="s">
        <v>44</v>
      </c>
      <c r="G2087">
        <v>2009</v>
      </c>
      <c r="H2087" t="s">
        <v>66</v>
      </c>
      <c r="K2087" t="s">
        <v>25</v>
      </c>
      <c r="L2087" t="s">
        <v>30</v>
      </c>
      <c r="M2087" t="b">
        <v>1</v>
      </c>
      <c r="N2087" t="s">
        <v>2709</v>
      </c>
      <c r="P2087" t="s">
        <v>3052</v>
      </c>
      <c r="Q2087" t="b">
        <v>1</v>
      </c>
      <c r="S2087" t="str">
        <f>"9780310276418"</f>
        <v>9780310276418</v>
      </c>
      <c r="T2087" t="str">
        <f>"9780310828402"</f>
        <v>9780310828402</v>
      </c>
      <c r="U2087" t="b">
        <v>0</v>
      </c>
      <c r="W2087" t="b">
        <v>0</v>
      </c>
    </row>
    <row r="2088" spans="1:23" x14ac:dyDescent="0.3">
      <c r="A2088">
        <v>2980599</v>
      </c>
      <c r="B2088">
        <v>68.97</v>
      </c>
      <c r="C2088" t="s">
        <v>4691</v>
      </c>
      <c r="D2088" t="s">
        <v>4692</v>
      </c>
      <c r="E2088" t="s">
        <v>23</v>
      </c>
      <c r="F2088" t="s">
        <v>44</v>
      </c>
      <c r="G2088">
        <v>2016</v>
      </c>
      <c r="H2088" t="s">
        <v>954</v>
      </c>
      <c r="K2088" t="s">
        <v>25</v>
      </c>
      <c r="L2088" t="s">
        <v>26</v>
      </c>
      <c r="M2088" t="b">
        <v>1</v>
      </c>
      <c r="N2088" t="s">
        <v>4693</v>
      </c>
      <c r="Q2088" t="b">
        <v>0</v>
      </c>
      <c r="S2088" t="str">
        <f>"9780310344063"</f>
        <v>9780310344063</v>
      </c>
      <c r="T2088" t="str">
        <f>"9780310344193"</f>
        <v>9780310344193</v>
      </c>
      <c r="U2088" t="b">
        <v>0</v>
      </c>
      <c r="W2088" t="b">
        <v>0</v>
      </c>
    </row>
    <row r="2089" spans="1:23" x14ac:dyDescent="0.3">
      <c r="A2089">
        <v>2980597</v>
      </c>
      <c r="B2089">
        <v>37.92</v>
      </c>
      <c r="C2089" t="s">
        <v>4694</v>
      </c>
      <c r="D2089" t="s">
        <v>4695</v>
      </c>
      <c r="E2089" t="s">
        <v>23</v>
      </c>
      <c r="F2089" t="s">
        <v>44</v>
      </c>
      <c r="G2089">
        <v>2021</v>
      </c>
      <c r="H2089" t="s">
        <v>58</v>
      </c>
      <c r="K2089" t="s">
        <v>25</v>
      </c>
      <c r="L2089" t="s">
        <v>26</v>
      </c>
      <c r="M2089" t="b">
        <v>1</v>
      </c>
      <c r="N2089" t="s">
        <v>4696</v>
      </c>
      <c r="Q2089" t="b">
        <v>0</v>
      </c>
      <c r="S2089" t="str">
        <f>"9780310242475"</f>
        <v>9780310242475</v>
      </c>
      <c r="T2089" t="str">
        <f>"9780310363781"</f>
        <v>9780310363781</v>
      </c>
      <c r="U2089" t="b">
        <v>0</v>
      </c>
      <c r="W2089" t="b">
        <v>0</v>
      </c>
    </row>
    <row r="2090" spans="1:23" x14ac:dyDescent="0.3">
      <c r="A2090">
        <v>2980596</v>
      </c>
      <c r="B2090">
        <v>55.17</v>
      </c>
      <c r="C2090" t="s">
        <v>4697</v>
      </c>
      <c r="E2090" t="s">
        <v>23</v>
      </c>
      <c r="F2090" t="s">
        <v>44</v>
      </c>
      <c r="G2090">
        <v>2020</v>
      </c>
      <c r="H2090" t="s">
        <v>772</v>
      </c>
      <c r="K2090" t="s">
        <v>25</v>
      </c>
      <c r="L2090" t="s">
        <v>26</v>
      </c>
      <c r="M2090" t="b">
        <v>1</v>
      </c>
      <c r="N2090" t="s">
        <v>958</v>
      </c>
      <c r="P2090" t="s">
        <v>959</v>
      </c>
      <c r="Q2090" t="b">
        <v>1</v>
      </c>
      <c r="S2090" t="str">
        <f>"9780310357223"</f>
        <v>9780310357223</v>
      </c>
      <c r="T2090" t="str">
        <f>"9780310357230"</f>
        <v>9780310357230</v>
      </c>
      <c r="U2090" t="b">
        <v>0</v>
      </c>
      <c r="W2090" t="b">
        <v>0</v>
      </c>
    </row>
    <row r="2091" spans="1:23" x14ac:dyDescent="0.3">
      <c r="A2091">
        <v>2980595</v>
      </c>
      <c r="B2091">
        <v>44.82</v>
      </c>
      <c r="C2091" t="s">
        <v>4698</v>
      </c>
      <c r="D2091" t="s">
        <v>4699</v>
      </c>
      <c r="E2091" t="s">
        <v>23</v>
      </c>
      <c r="F2091" t="s">
        <v>44</v>
      </c>
      <c r="G2091">
        <v>2020</v>
      </c>
      <c r="H2091" t="s">
        <v>4231</v>
      </c>
      <c r="K2091" t="s">
        <v>25</v>
      </c>
      <c r="L2091" t="s">
        <v>26</v>
      </c>
      <c r="M2091" t="b">
        <v>1</v>
      </c>
      <c r="N2091" t="s">
        <v>4232</v>
      </c>
      <c r="Q2091" t="b">
        <v>0</v>
      </c>
      <c r="S2091" t="str">
        <f>"9780310359449"</f>
        <v>9780310359449</v>
      </c>
      <c r="T2091" t="str">
        <f>"9780310359456"</f>
        <v>9780310359456</v>
      </c>
      <c r="U2091" t="b">
        <v>0</v>
      </c>
      <c r="W2091" t="b">
        <v>0</v>
      </c>
    </row>
    <row r="2092" spans="1:23" x14ac:dyDescent="0.3">
      <c r="A2092">
        <v>2980594</v>
      </c>
      <c r="B2092">
        <v>74.59</v>
      </c>
      <c r="C2092" t="s">
        <v>4700</v>
      </c>
      <c r="D2092" t="s">
        <v>4701</v>
      </c>
      <c r="E2092" t="s">
        <v>23</v>
      </c>
      <c r="F2092" t="s">
        <v>44</v>
      </c>
      <c r="G2092">
        <v>2019</v>
      </c>
      <c r="H2092" t="s">
        <v>1076</v>
      </c>
      <c r="K2092" t="s">
        <v>25</v>
      </c>
      <c r="L2092" t="s">
        <v>26</v>
      </c>
      <c r="M2092" t="b">
        <v>1</v>
      </c>
      <c r="N2092" t="s">
        <v>4702</v>
      </c>
      <c r="Q2092" t="b">
        <v>0</v>
      </c>
      <c r="S2092" t="str">
        <f>"9780310357377"</f>
        <v>9780310357377</v>
      </c>
      <c r="T2092" t="str">
        <f>"9780310357384"</f>
        <v>9780310357384</v>
      </c>
      <c r="U2092" t="b">
        <v>0</v>
      </c>
      <c r="W2092" t="b">
        <v>0</v>
      </c>
    </row>
    <row r="2093" spans="1:23" x14ac:dyDescent="0.3">
      <c r="A2093">
        <v>2980593</v>
      </c>
      <c r="B2093">
        <v>51.72</v>
      </c>
      <c r="C2093" t="s">
        <v>4703</v>
      </c>
      <c r="E2093" t="s">
        <v>23</v>
      </c>
      <c r="F2093" t="s">
        <v>44</v>
      </c>
      <c r="G2093">
        <v>2011</v>
      </c>
      <c r="H2093" t="s">
        <v>74</v>
      </c>
      <c r="K2093" t="s">
        <v>25</v>
      </c>
      <c r="L2093" t="s">
        <v>30</v>
      </c>
      <c r="M2093" t="b">
        <v>1</v>
      </c>
      <c r="N2093" t="s">
        <v>4704</v>
      </c>
      <c r="P2093" t="s">
        <v>4705</v>
      </c>
      <c r="Q2093" t="b">
        <v>1</v>
      </c>
      <c r="S2093" t="str">
        <f>"9780310328193"</f>
        <v>9780310328193</v>
      </c>
      <c r="T2093" t="str">
        <f>"9780310598923"</f>
        <v>9780310598923</v>
      </c>
      <c r="U2093" t="b">
        <v>0</v>
      </c>
      <c r="W2093" t="b">
        <v>0</v>
      </c>
    </row>
    <row r="2094" spans="1:23" x14ac:dyDescent="0.3">
      <c r="A2094">
        <v>2980592</v>
      </c>
      <c r="B2094">
        <v>37.92</v>
      </c>
      <c r="C2094" t="s">
        <v>4706</v>
      </c>
      <c r="D2094" t="s">
        <v>4707</v>
      </c>
      <c r="E2094" t="s">
        <v>23</v>
      </c>
      <c r="F2094" t="s">
        <v>44</v>
      </c>
      <c r="G2094">
        <v>2010</v>
      </c>
      <c r="H2094" t="s">
        <v>2079</v>
      </c>
      <c r="K2094" t="s">
        <v>25</v>
      </c>
      <c r="L2094" t="s">
        <v>30</v>
      </c>
      <c r="M2094" t="b">
        <v>1</v>
      </c>
      <c r="N2094" t="s">
        <v>1455</v>
      </c>
      <c r="Q2094" t="b">
        <v>0</v>
      </c>
      <c r="S2094" t="str">
        <f>"9780310283638"</f>
        <v>9780310283638</v>
      </c>
      <c r="T2094" t="str">
        <f>"9780310600022"</f>
        <v>9780310600022</v>
      </c>
      <c r="U2094" t="b">
        <v>0</v>
      </c>
      <c r="W2094" t="b">
        <v>0</v>
      </c>
    </row>
    <row r="2095" spans="1:23" x14ac:dyDescent="0.3">
      <c r="A2095">
        <v>2980591</v>
      </c>
      <c r="B2095">
        <v>39.049999999999997</v>
      </c>
      <c r="C2095" t="s">
        <v>4708</v>
      </c>
      <c r="D2095" t="s">
        <v>2694</v>
      </c>
      <c r="E2095" t="s">
        <v>23</v>
      </c>
      <c r="F2095" t="s">
        <v>44</v>
      </c>
      <c r="G2095">
        <v>2010</v>
      </c>
      <c r="H2095" t="s">
        <v>99</v>
      </c>
      <c r="K2095" t="s">
        <v>25</v>
      </c>
      <c r="L2095" t="s">
        <v>30</v>
      </c>
      <c r="M2095" t="b">
        <v>1</v>
      </c>
      <c r="N2095" t="s">
        <v>2616</v>
      </c>
      <c r="Q2095" t="b">
        <v>0</v>
      </c>
      <c r="S2095" t="str">
        <f>"9780310234494"</f>
        <v>9780310234494</v>
      </c>
      <c r="T2095" t="str">
        <f>"9780310862895"</f>
        <v>9780310862895</v>
      </c>
      <c r="U2095" t="b">
        <v>0</v>
      </c>
      <c r="W2095" t="b">
        <v>0</v>
      </c>
    </row>
    <row r="2096" spans="1:23" x14ac:dyDescent="0.3">
      <c r="A2096">
        <v>2980590</v>
      </c>
      <c r="B2096">
        <v>58.62</v>
      </c>
      <c r="C2096" t="s">
        <v>4709</v>
      </c>
      <c r="D2096" t="s">
        <v>4710</v>
      </c>
      <c r="E2096" t="s">
        <v>23</v>
      </c>
      <c r="F2096" t="s">
        <v>44</v>
      </c>
      <c r="G2096">
        <v>2016</v>
      </c>
      <c r="H2096" t="s">
        <v>89</v>
      </c>
      <c r="K2096" t="s">
        <v>25</v>
      </c>
      <c r="L2096" t="s">
        <v>26</v>
      </c>
      <c r="M2096" t="b">
        <v>1</v>
      </c>
      <c r="N2096" t="s">
        <v>1514</v>
      </c>
      <c r="Q2096" t="b">
        <v>0</v>
      </c>
      <c r="S2096" t="str">
        <f>"9780310344735"</f>
        <v>9780310344735</v>
      </c>
      <c r="T2096" t="str">
        <f>"9780310344766"</f>
        <v>9780310344766</v>
      </c>
      <c r="U2096" t="b">
        <v>0</v>
      </c>
      <c r="W2096" t="b">
        <v>0</v>
      </c>
    </row>
    <row r="2097" spans="1:23" x14ac:dyDescent="0.3">
      <c r="A2097">
        <v>2980589</v>
      </c>
      <c r="B2097">
        <v>44.82</v>
      </c>
      <c r="C2097" t="s">
        <v>4711</v>
      </c>
      <c r="D2097" t="s">
        <v>4712</v>
      </c>
      <c r="E2097" t="s">
        <v>23</v>
      </c>
      <c r="F2097" t="s">
        <v>44</v>
      </c>
      <c r="G2097">
        <v>2010</v>
      </c>
      <c r="H2097" t="s">
        <v>58</v>
      </c>
      <c r="K2097" t="s">
        <v>25</v>
      </c>
      <c r="L2097" t="s">
        <v>30</v>
      </c>
      <c r="M2097" t="b">
        <v>1</v>
      </c>
      <c r="N2097" t="s">
        <v>4713</v>
      </c>
      <c r="Q2097" t="b">
        <v>0</v>
      </c>
      <c r="S2097" t="str">
        <f>"9780310291329"</f>
        <v>9780310291329</v>
      </c>
      <c r="T2097" t="str">
        <f>"9780310395638"</f>
        <v>9780310395638</v>
      </c>
      <c r="U2097" t="b">
        <v>0</v>
      </c>
      <c r="W2097" t="b">
        <v>0</v>
      </c>
    </row>
    <row r="2098" spans="1:23" x14ac:dyDescent="0.3">
      <c r="A2098">
        <v>2980588</v>
      </c>
      <c r="B2098">
        <v>21.29</v>
      </c>
      <c r="C2098" t="s">
        <v>4714</v>
      </c>
      <c r="D2098" t="s">
        <v>4715</v>
      </c>
      <c r="E2098" t="s">
        <v>23</v>
      </c>
      <c r="F2098" t="s">
        <v>44</v>
      </c>
      <c r="G2098">
        <v>2017</v>
      </c>
      <c r="H2098" t="s">
        <v>728</v>
      </c>
      <c r="K2098" t="s">
        <v>25</v>
      </c>
      <c r="L2098" t="s">
        <v>26</v>
      </c>
      <c r="M2098" t="b">
        <v>1</v>
      </c>
      <c r="N2098" t="s">
        <v>4716</v>
      </c>
      <c r="Q2098" t="b">
        <v>1</v>
      </c>
      <c r="T2098" t="str">
        <f>"9780785219668"</f>
        <v>9780785219668</v>
      </c>
      <c r="U2098" t="b">
        <v>0</v>
      </c>
      <c r="W2098" t="b">
        <v>0</v>
      </c>
    </row>
    <row r="2099" spans="1:23" x14ac:dyDescent="0.3">
      <c r="A2099">
        <v>2980587</v>
      </c>
      <c r="B2099">
        <v>35.5</v>
      </c>
      <c r="C2099" t="s">
        <v>4717</v>
      </c>
      <c r="D2099" t="s">
        <v>4718</v>
      </c>
      <c r="E2099" t="s">
        <v>23</v>
      </c>
      <c r="F2099" t="s">
        <v>44</v>
      </c>
      <c r="G2099">
        <v>2011</v>
      </c>
      <c r="H2099" t="s">
        <v>912</v>
      </c>
      <c r="K2099" t="s">
        <v>25</v>
      </c>
      <c r="L2099" t="s">
        <v>30</v>
      </c>
      <c r="M2099" t="b">
        <v>1</v>
      </c>
      <c r="N2099" t="s">
        <v>4719</v>
      </c>
      <c r="Q2099" t="b">
        <v>0</v>
      </c>
      <c r="T2099" t="str">
        <f>"9780310334965"</f>
        <v>9780310334965</v>
      </c>
      <c r="U2099" t="b">
        <v>0</v>
      </c>
      <c r="W2099" t="b">
        <v>0</v>
      </c>
    </row>
    <row r="2100" spans="1:23" x14ac:dyDescent="0.3">
      <c r="A2100">
        <v>2980586</v>
      </c>
      <c r="B2100">
        <v>68.97</v>
      </c>
      <c r="C2100" t="s">
        <v>4720</v>
      </c>
      <c r="D2100" t="s">
        <v>4721</v>
      </c>
      <c r="E2100" t="s">
        <v>23</v>
      </c>
      <c r="F2100" t="s">
        <v>44</v>
      </c>
      <c r="G2100">
        <v>2020</v>
      </c>
      <c r="H2100" t="s">
        <v>132</v>
      </c>
      <c r="K2100" t="s">
        <v>25</v>
      </c>
      <c r="L2100" t="s">
        <v>26</v>
      </c>
      <c r="M2100" t="b">
        <v>1</v>
      </c>
      <c r="N2100" t="s">
        <v>54</v>
      </c>
      <c r="Q2100" t="b">
        <v>0</v>
      </c>
      <c r="S2100" t="str">
        <f>"9780310455561"</f>
        <v>9780310455561</v>
      </c>
      <c r="T2100" t="str">
        <f>"9780310455578"</f>
        <v>9780310455578</v>
      </c>
      <c r="U2100" t="b">
        <v>0</v>
      </c>
      <c r="W2100" t="b">
        <v>0</v>
      </c>
    </row>
    <row r="2101" spans="1:23" x14ac:dyDescent="0.3">
      <c r="A2101">
        <v>2980585</v>
      </c>
      <c r="B2101">
        <v>55.17</v>
      </c>
      <c r="C2101" t="s">
        <v>4722</v>
      </c>
      <c r="D2101" t="s">
        <v>4723</v>
      </c>
      <c r="E2101" t="s">
        <v>23</v>
      </c>
      <c r="F2101" t="s">
        <v>44</v>
      </c>
      <c r="G2101">
        <v>2011</v>
      </c>
      <c r="H2101" t="s">
        <v>24</v>
      </c>
      <c r="K2101" t="s">
        <v>25</v>
      </c>
      <c r="L2101" t="s">
        <v>30</v>
      </c>
      <c r="M2101" t="b">
        <v>1</v>
      </c>
      <c r="N2101" t="s">
        <v>4724</v>
      </c>
      <c r="Q2101" t="b">
        <v>0</v>
      </c>
      <c r="S2101" t="str">
        <f>"9780310255185"</f>
        <v>9780310255185</v>
      </c>
      <c r="T2101" t="str">
        <f>"9780310861218"</f>
        <v>9780310861218</v>
      </c>
      <c r="U2101" t="b">
        <v>0</v>
      </c>
      <c r="W2101" t="b">
        <v>0</v>
      </c>
    </row>
    <row r="2102" spans="1:23" x14ac:dyDescent="0.3">
      <c r="A2102">
        <v>2980584</v>
      </c>
      <c r="B2102">
        <v>27.57</v>
      </c>
      <c r="C2102" t="s">
        <v>4725</v>
      </c>
      <c r="E2102" t="s">
        <v>23</v>
      </c>
      <c r="F2102" t="s">
        <v>44</v>
      </c>
      <c r="G2102">
        <v>2013</v>
      </c>
      <c r="H2102" t="s">
        <v>728</v>
      </c>
      <c r="K2102" t="s">
        <v>25</v>
      </c>
      <c r="L2102" t="s">
        <v>30</v>
      </c>
      <c r="M2102" t="b">
        <v>1</v>
      </c>
      <c r="N2102" t="s">
        <v>776</v>
      </c>
      <c r="P2102" t="s">
        <v>3036</v>
      </c>
      <c r="Q2102" t="b">
        <v>1</v>
      </c>
      <c r="S2102" t="str">
        <f>"9780310350705"</f>
        <v>9780310350705</v>
      </c>
      <c r="T2102" t="str">
        <f>"9780310413110"</f>
        <v>9780310413110</v>
      </c>
      <c r="U2102" t="b">
        <v>0</v>
      </c>
      <c r="W2102" t="b">
        <v>0</v>
      </c>
    </row>
    <row r="2103" spans="1:23" x14ac:dyDescent="0.3">
      <c r="A2103">
        <v>2980583</v>
      </c>
      <c r="B2103">
        <v>39.049999999999997</v>
      </c>
      <c r="C2103" t="s">
        <v>4726</v>
      </c>
      <c r="D2103" t="s">
        <v>4727</v>
      </c>
      <c r="E2103" t="s">
        <v>23</v>
      </c>
      <c r="F2103" t="s">
        <v>44</v>
      </c>
      <c r="G2103">
        <v>2015</v>
      </c>
      <c r="H2103" t="s">
        <v>62</v>
      </c>
      <c r="K2103" t="s">
        <v>25</v>
      </c>
      <c r="L2103" t="s">
        <v>30</v>
      </c>
      <c r="M2103" t="b">
        <v>1</v>
      </c>
      <c r="N2103" t="s">
        <v>44</v>
      </c>
      <c r="Q2103" t="b">
        <v>0</v>
      </c>
      <c r="T2103" t="str">
        <f>"9780310352211"</f>
        <v>9780310352211</v>
      </c>
      <c r="U2103" t="b">
        <v>0</v>
      </c>
      <c r="W2103" t="b">
        <v>0</v>
      </c>
    </row>
    <row r="2104" spans="1:23" x14ac:dyDescent="0.3">
      <c r="A2104">
        <v>2980582</v>
      </c>
      <c r="B2104">
        <v>88.8</v>
      </c>
      <c r="C2104" t="s">
        <v>4728</v>
      </c>
      <c r="D2104" t="s">
        <v>4729</v>
      </c>
      <c r="E2104" t="s">
        <v>23</v>
      </c>
      <c r="F2104" t="s">
        <v>44</v>
      </c>
      <c r="G2104">
        <v>2010</v>
      </c>
      <c r="H2104" t="s">
        <v>132</v>
      </c>
      <c r="K2104" t="s">
        <v>25</v>
      </c>
      <c r="L2104" t="s">
        <v>30</v>
      </c>
      <c r="M2104" t="b">
        <v>1</v>
      </c>
      <c r="N2104" t="s">
        <v>2216</v>
      </c>
      <c r="Q2104" t="b">
        <v>0</v>
      </c>
      <c r="T2104" t="str">
        <f>"9780310873174"</f>
        <v>9780310873174</v>
      </c>
      <c r="U2104" t="b">
        <v>0</v>
      </c>
      <c r="W2104" t="b">
        <v>0</v>
      </c>
    </row>
    <row r="2105" spans="1:23" x14ac:dyDescent="0.3">
      <c r="A2105">
        <v>2980581</v>
      </c>
      <c r="B2105">
        <v>53.27</v>
      </c>
      <c r="C2105" t="s">
        <v>4730</v>
      </c>
      <c r="D2105" t="s">
        <v>970</v>
      </c>
      <c r="E2105" t="s">
        <v>23</v>
      </c>
      <c r="F2105" t="s">
        <v>44</v>
      </c>
      <c r="G2105">
        <v>2020</v>
      </c>
      <c r="H2105" t="s">
        <v>132</v>
      </c>
      <c r="K2105" t="s">
        <v>25</v>
      </c>
      <c r="L2105" t="s">
        <v>26</v>
      </c>
      <c r="M2105" t="b">
        <v>1</v>
      </c>
      <c r="N2105" t="s">
        <v>968</v>
      </c>
      <c r="Q2105" t="b">
        <v>0</v>
      </c>
      <c r="S2105" t="str">
        <f>"9780310354802"</f>
        <v>9780310354802</v>
      </c>
      <c r="T2105" t="str">
        <f>"9780310354826"</f>
        <v>9780310354826</v>
      </c>
      <c r="U2105" t="b">
        <v>0</v>
      </c>
      <c r="W2105" t="b">
        <v>0</v>
      </c>
    </row>
    <row r="2106" spans="1:23" x14ac:dyDescent="0.3">
      <c r="A2106">
        <v>2980580</v>
      </c>
      <c r="B2106">
        <v>58.62</v>
      </c>
      <c r="C2106" t="s">
        <v>4731</v>
      </c>
      <c r="D2106" t="s">
        <v>4732</v>
      </c>
      <c r="E2106" t="s">
        <v>23</v>
      </c>
      <c r="F2106" t="s">
        <v>44</v>
      </c>
      <c r="G2106">
        <v>2015</v>
      </c>
      <c r="H2106" t="s">
        <v>58</v>
      </c>
      <c r="K2106" t="s">
        <v>25</v>
      </c>
      <c r="L2106" t="s">
        <v>30</v>
      </c>
      <c r="M2106" t="b">
        <v>1</v>
      </c>
      <c r="N2106" t="s">
        <v>4733</v>
      </c>
      <c r="Q2106" t="b">
        <v>0</v>
      </c>
      <c r="S2106" t="str">
        <f>"9780310338925"</f>
        <v>9780310338925</v>
      </c>
      <c r="T2106" t="str">
        <f>"9780310338949"</f>
        <v>9780310338949</v>
      </c>
      <c r="U2106" t="b">
        <v>0</v>
      </c>
      <c r="W2106" t="b">
        <v>0</v>
      </c>
    </row>
    <row r="2107" spans="1:23" x14ac:dyDescent="0.3">
      <c r="A2107">
        <v>2980579</v>
      </c>
      <c r="B2107">
        <v>34.47</v>
      </c>
      <c r="C2107" t="s">
        <v>4734</v>
      </c>
      <c r="E2107" t="s">
        <v>23</v>
      </c>
      <c r="F2107" t="s">
        <v>44</v>
      </c>
      <c r="G2107">
        <v>2010</v>
      </c>
      <c r="H2107" t="s">
        <v>4029</v>
      </c>
      <c r="K2107" t="s">
        <v>25</v>
      </c>
      <c r="L2107" t="s">
        <v>30</v>
      </c>
      <c r="M2107" t="b">
        <v>1</v>
      </c>
      <c r="N2107" t="s">
        <v>408</v>
      </c>
      <c r="P2107" t="s">
        <v>4030</v>
      </c>
      <c r="Q2107" t="b">
        <v>0</v>
      </c>
      <c r="S2107" t="str">
        <f>"9780310748106"</f>
        <v>9780310748106</v>
      </c>
      <c r="T2107" t="str">
        <f>"9780310426684"</f>
        <v>9780310426684</v>
      </c>
      <c r="U2107" t="b">
        <v>0</v>
      </c>
      <c r="W2107" t="b">
        <v>0</v>
      </c>
    </row>
    <row r="2108" spans="1:23" x14ac:dyDescent="0.3">
      <c r="A2108">
        <v>2980578</v>
      </c>
      <c r="B2108">
        <v>24.12</v>
      </c>
      <c r="C2108" t="s">
        <v>4735</v>
      </c>
      <c r="D2108" t="s">
        <v>4736</v>
      </c>
      <c r="E2108" t="s">
        <v>23</v>
      </c>
      <c r="F2108" t="s">
        <v>44</v>
      </c>
      <c r="G2108">
        <v>2009</v>
      </c>
      <c r="H2108" t="s">
        <v>716</v>
      </c>
      <c r="K2108" t="s">
        <v>25</v>
      </c>
      <c r="L2108" t="s">
        <v>30</v>
      </c>
      <c r="M2108" t="b">
        <v>1</v>
      </c>
      <c r="N2108" t="s">
        <v>4587</v>
      </c>
      <c r="P2108" t="s">
        <v>4588</v>
      </c>
      <c r="Q2108" t="b">
        <v>1</v>
      </c>
      <c r="S2108" t="str">
        <f>"9780310714255"</f>
        <v>9780310714255</v>
      </c>
      <c r="T2108" t="str">
        <f>"9780310864349"</f>
        <v>9780310864349</v>
      </c>
      <c r="U2108" t="b">
        <v>0</v>
      </c>
      <c r="W2108" t="b">
        <v>0</v>
      </c>
    </row>
    <row r="2109" spans="1:23" x14ac:dyDescent="0.3">
      <c r="A2109">
        <v>2980577</v>
      </c>
      <c r="B2109">
        <v>58.62</v>
      </c>
      <c r="C2109" t="s">
        <v>4737</v>
      </c>
      <c r="D2109" t="s">
        <v>4738</v>
      </c>
      <c r="E2109" t="s">
        <v>23</v>
      </c>
      <c r="F2109" t="s">
        <v>44</v>
      </c>
      <c r="G2109">
        <v>2011</v>
      </c>
      <c r="H2109" t="s">
        <v>1080</v>
      </c>
      <c r="I2109" t="s">
        <v>4739</v>
      </c>
      <c r="J2109" t="s">
        <v>4740</v>
      </c>
      <c r="K2109" t="s">
        <v>25</v>
      </c>
      <c r="L2109" t="s">
        <v>30</v>
      </c>
      <c r="M2109" t="b">
        <v>1</v>
      </c>
      <c r="N2109" t="s">
        <v>4741</v>
      </c>
      <c r="O2109" t="str">
        <f>"248.8/45"</f>
        <v>248.8/45</v>
      </c>
      <c r="Q2109" t="b">
        <v>0</v>
      </c>
      <c r="S2109" t="str">
        <f>"9780310329329"</f>
        <v>9780310329329</v>
      </c>
      <c r="T2109" t="str">
        <f>"9780310591863"</f>
        <v>9780310591863</v>
      </c>
      <c r="U2109" t="b">
        <v>0</v>
      </c>
      <c r="W2109" t="b">
        <v>0</v>
      </c>
    </row>
    <row r="2110" spans="1:23" x14ac:dyDescent="0.3">
      <c r="A2110">
        <v>2980576</v>
      </c>
      <c r="B2110">
        <v>86.22</v>
      </c>
      <c r="C2110" t="s">
        <v>4742</v>
      </c>
      <c r="D2110" t="s">
        <v>4743</v>
      </c>
      <c r="E2110" t="s">
        <v>23</v>
      </c>
      <c r="F2110" t="s">
        <v>44</v>
      </c>
      <c r="G2110">
        <v>2017</v>
      </c>
      <c r="H2110" t="s">
        <v>4744</v>
      </c>
      <c r="K2110" t="s">
        <v>25</v>
      </c>
      <c r="L2110" t="s">
        <v>26</v>
      </c>
      <c r="M2110" t="b">
        <v>1</v>
      </c>
      <c r="N2110" t="s">
        <v>237</v>
      </c>
      <c r="Q2110" t="b">
        <v>0</v>
      </c>
      <c r="S2110" t="str">
        <f>"9780310088059"</f>
        <v>9780310088059</v>
      </c>
      <c r="T2110" t="str">
        <f>"9780310088066"</f>
        <v>9780310088066</v>
      </c>
      <c r="U2110" t="b">
        <v>0</v>
      </c>
      <c r="W2110" t="b">
        <v>0</v>
      </c>
    </row>
    <row r="2111" spans="1:23" x14ac:dyDescent="0.3">
      <c r="A2111">
        <v>2980575</v>
      </c>
      <c r="B2111">
        <v>63.93</v>
      </c>
      <c r="C2111" t="s">
        <v>4745</v>
      </c>
      <c r="D2111" t="s">
        <v>4746</v>
      </c>
      <c r="E2111" t="s">
        <v>23</v>
      </c>
      <c r="F2111" t="s">
        <v>44</v>
      </c>
      <c r="G2111">
        <v>2010</v>
      </c>
      <c r="H2111" t="s">
        <v>58</v>
      </c>
      <c r="K2111" t="s">
        <v>25</v>
      </c>
      <c r="L2111" t="s">
        <v>30</v>
      </c>
      <c r="M2111" t="b">
        <v>1</v>
      </c>
      <c r="N2111" t="s">
        <v>4747</v>
      </c>
      <c r="Q2111" t="b">
        <v>0</v>
      </c>
      <c r="T2111" t="str">
        <f>"9780310415268"</f>
        <v>9780310415268</v>
      </c>
      <c r="U2111" t="b">
        <v>0</v>
      </c>
      <c r="W2111" t="b">
        <v>0</v>
      </c>
    </row>
    <row r="2112" spans="1:23" x14ac:dyDescent="0.3">
      <c r="A2112">
        <v>2980574</v>
      </c>
      <c r="B2112">
        <v>21.29</v>
      </c>
      <c r="C2112" t="s">
        <v>4748</v>
      </c>
      <c r="D2112" t="s">
        <v>4749</v>
      </c>
      <c r="E2112" t="s">
        <v>23</v>
      </c>
      <c r="F2112" t="s">
        <v>44</v>
      </c>
      <c r="G2112">
        <v>2014</v>
      </c>
      <c r="H2112" t="s">
        <v>68</v>
      </c>
      <c r="K2112" t="s">
        <v>25</v>
      </c>
      <c r="L2112" t="s">
        <v>30</v>
      </c>
      <c r="M2112" t="b">
        <v>1</v>
      </c>
      <c r="N2112" t="s">
        <v>4750</v>
      </c>
      <c r="P2112" t="s">
        <v>3507</v>
      </c>
      <c r="Q2112" t="b">
        <v>0</v>
      </c>
      <c r="T2112" t="str">
        <f>"9780310433446"</f>
        <v>9780310433446</v>
      </c>
      <c r="U2112" t="b">
        <v>0</v>
      </c>
      <c r="W2112" t="b">
        <v>0</v>
      </c>
    </row>
    <row r="2113" spans="1:23" x14ac:dyDescent="0.3">
      <c r="A2113">
        <v>2980573</v>
      </c>
      <c r="B2113">
        <v>58.62</v>
      </c>
      <c r="C2113" t="s">
        <v>1427</v>
      </c>
      <c r="D2113" t="s">
        <v>4751</v>
      </c>
      <c r="E2113" t="s">
        <v>23</v>
      </c>
      <c r="F2113" t="s">
        <v>44</v>
      </c>
      <c r="G2113">
        <v>2020</v>
      </c>
      <c r="H2113" t="s">
        <v>834</v>
      </c>
      <c r="K2113" t="s">
        <v>25</v>
      </c>
      <c r="L2113" t="s">
        <v>26</v>
      </c>
      <c r="M2113" t="b">
        <v>1</v>
      </c>
      <c r="N2113" t="s">
        <v>918</v>
      </c>
      <c r="Q2113" t="b">
        <v>0</v>
      </c>
      <c r="S2113" t="str">
        <f>"9780310769408"</f>
        <v>9780310769408</v>
      </c>
      <c r="T2113" t="str">
        <f>"9780310769422"</f>
        <v>9780310769422</v>
      </c>
      <c r="U2113" t="b">
        <v>0</v>
      </c>
      <c r="W2113" t="b">
        <v>0</v>
      </c>
    </row>
    <row r="2114" spans="1:23" x14ac:dyDescent="0.3">
      <c r="A2114">
        <v>2980572</v>
      </c>
      <c r="B2114">
        <v>63.93</v>
      </c>
      <c r="C2114" t="s">
        <v>4752</v>
      </c>
      <c r="D2114" t="s">
        <v>967</v>
      </c>
      <c r="E2114" t="s">
        <v>23</v>
      </c>
      <c r="F2114" t="s">
        <v>44</v>
      </c>
      <c r="G2114">
        <v>2019</v>
      </c>
      <c r="H2114" t="s">
        <v>132</v>
      </c>
      <c r="K2114" t="s">
        <v>25</v>
      </c>
      <c r="L2114" t="s">
        <v>26</v>
      </c>
      <c r="M2114" t="b">
        <v>1</v>
      </c>
      <c r="N2114" t="s">
        <v>968</v>
      </c>
      <c r="Q2114" t="b">
        <v>0</v>
      </c>
      <c r="S2114" t="str">
        <f>"9780310354666"</f>
        <v>9780310354666</v>
      </c>
      <c r="T2114" t="str">
        <f>"9780310354697"</f>
        <v>9780310354697</v>
      </c>
      <c r="U2114" t="b">
        <v>0</v>
      </c>
      <c r="W2114" t="b">
        <v>0</v>
      </c>
    </row>
    <row r="2115" spans="1:23" x14ac:dyDescent="0.3">
      <c r="A2115">
        <v>2980571</v>
      </c>
      <c r="B2115">
        <v>56.82</v>
      </c>
      <c r="C2115" t="s">
        <v>4753</v>
      </c>
      <c r="D2115" t="s">
        <v>4754</v>
      </c>
      <c r="E2115" t="s">
        <v>23</v>
      </c>
      <c r="F2115" t="s">
        <v>44</v>
      </c>
      <c r="G2115">
        <v>2010</v>
      </c>
      <c r="H2115" t="s">
        <v>804</v>
      </c>
      <c r="K2115" t="s">
        <v>25</v>
      </c>
      <c r="L2115" t="s">
        <v>30</v>
      </c>
      <c r="M2115" t="b">
        <v>1</v>
      </c>
      <c r="N2115" t="s">
        <v>4755</v>
      </c>
      <c r="P2115" t="s">
        <v>4756</v>
      </c>
      <c r="Q2115" t="b">
        <v>0</v>
      </c>
      <c r="T2115" t="str">
        <f>"9780310321255"</f>
        <v>9780310321255</v>
      </c>
      <c r="U2115" t="b">
        <v>0</v>
      </c>
      <c r="W2115" t="b">
        <v>0</v>
      </c>
    </row>
    <row r="2116" spans="1:23" x14ac:dyDescent="0.3">
      <c r="A2116">
        <v>2980570</v>
      </c>
      <c r="B2116">
        <v>142.1</v>
      </c>
      <c r="C2116" t="s">
        <v>4757</v>
      </c>
      <c r="D2116" t="s">
        <v>4758</v>
      </c>
      <c r="E2116" t="s">
        <v>23</v>
      </c>
      <c r="F2116" t="s">
        <v>44</v>
      </c>
      <c r="G2116">
        <v>2014</v>
      </c>
      <c r="H2116" t="s">
        <v>74</v>
      </c>
      <c r="K2116" t="s">
        <v>25</v>
      </c>
      <c r="L2116" t="s">
        <v>30</v>
      </c>
      <c r="M2116" t="b">
        <v>1</v>
      </c>
      <c r="N2116" t="s">
        <v>4759</v>
      </c>
      <c r="P2116" t="s">
        <v>3729</v>
      </c>
      <c r="Q2116" t="b">
        <v>1</v>
      </c>
      <c r="T2116" t="str">
        <f>"9780310342922"</f>
        <v>9780310342922</v>
      </c>
      <c r="U2116" t="b">
        <v>0</v>
      </c>
      <c r="W2116" t="b">
        <v>0</v>
      </c>
    </row>
    <row r="2117" spans="1:23" x14ac:dyDescent="0.3">
      <c r="A2117">
        <v>2980569</v>
      </c>
      <c r="B2117">
        <v>44.82</v>
      </c>
      <c r="C2117" t="s">
        <v>4760</v>
      </c>
      <c r="D2117" t="s">
        <v>4761</v>
      </c>
      <c r="E2117" t="s">
        <v>23</v>
      </c>
      <c r="F2117" t="s">
        <v>44</v>
      </c>
      <c r="G2117">
        <v>2009</v>
      </c>
      <c r="H2117" t="s">
        <v>56</v>
      </c>
      <c r="K2117" t="s">
        <v>25</v>
      </c>
      <c r="L2117" t="s">
        <v>30</v>
      </c>
      <c r="M2117" t="b">
        <v>1</v>
      </c>
      <c r="N2117" t="s">
        <v>2509</v>
      </c>
      <c r="Q2117" t="b">
        <v>0</v>
      </c>
      <c r="S2117" t="str">
        <f>"9780310225713"</f>
        <v>9780310225713</v>
      </c>
      <c r="T2117" t="str">
        <f>"9780310860068"</f>
        <v>9780310860068</v>
      </c>
      <c r="U2117" t="b">
        <v>0</v>
      </c>
      <c r="W2117" t="b">
        <v>0</v>
      </c>
    </row>
    <row r="2118" spans="1:23" x14ac:dyDescent="0.3">
      <c r="A2118">
        <v>2980568</v>
      </c>
      <c r="B2118">
        <v>55.17</v>
      </c>
      <c r="C2118" t="s">
        <v>4762</v>
      </c>
      <c r="D2118" t="s">
        <v>1405</v>
      </c>
      <c r="E2118" t="s">
        <v>23</v>
      </c>
      <c r="F2118" t="s">
        <v>44</v>
      </c>
      <c r="G2118">
        <v>2010</v>
      </c>
      <c r="H2118" t="s">
        <v>66</v>
      </c>
      <c r="K2118" t="s">
        <v>25</v>
      </c>
      <c r="L2118" t="s">
        <v>30</v>
      </c>
      <c r="M2118" t="b">
        <v>1</v>
      </c>
      <c r="N2118" t="s">
        <v>77</v>
      </c>
      <c r="Q2118" t="b">
        <v>1</v>
      </c>
      <c r="S2118" t="str">
        <f>"9780310250661"</f>
        <v>9780310250661</v>
      </c>
      <c r="T2118" t="str">
        <f>"9780310555575"</f>
        <v>9780310555575</v>
      </c>
      <c r="U2118" t="b">
        <v>0</v>
      </c>
      <c r="W2118" t="b">
        <v>0</v>
      </c>
    </row>
    <row r="2119" spans="1:23" x14ac:dyDescent="0.3">
      <c r="A2119">
        <v>2980567</v>
      </c>
      <c r="B2119">
        <v>58.62</v>
      </c>
      <c r="C2119" t="s">
        <v>4763</v>
      </c>
      <c r="E2119" t="s">
        <v>23</v>
      </c>
      <c r="F2119" t="s">
        <v>44</v>
      </c>
      <c r="G2119">
        <v>2009</v>
      </c>
      <c r="H2119" t="s">
        <v>66</v>
      </c>
      <c r="K2119" t="s">
        <v>25</v>
      </c>
      <c r="L2119" t="s">
        <v>26</v>
      </c>
      <c r="M2119" t="b">
        <v>1</v>
      </c>
      <c r="N2119" t="s">
        <v>77</v>
      </c>
      <c r="P2119" t="s">
        <v>3693</v>
      </c>
      <c r="Q2119" t="b">
        <v>1</v>
      </c>
      <c r="S2119" t="str">
        <f>"9780785237402"</f>
        <v>9780785237402</v>
      </c>
      <c r="T2119" t="str">
        <f>"9780310313168"</f>
        <v>9780310313168</v>
      </c>
      <c r="U2119" t="b">
        <v>0</v>
      </c>
      <c r="W2119" t="b">
        <v>0</v>
      </c>
    </row>
    <row r="2120" spans="1:23" x14ac:dyDescent="0.3">
      <c r="A2120">
        <v>2980566</v>
      </c>
      <c r="B2120">
        <v>55.17</v>
      </c>
      <c r="C2120" t="s">
        <v>4764</v>
      </c>
      <c r="D2120" t="s">
        <v>4765</v>
      </c>
      <c r="E2120" t="s">
        <v>23</v>
      </c>
      <c r="F2120" t="s">
        <v>44</v>
      </c>
      <c r="G2120">
        <v>2010</v>
      </c>
      <c r="H2120" t="s">
        <v>132</v>
      </c>
      <c r="K2120" t="s">
        <v>25</v>
      </c>
      <c r="L2120" t="s">
        <v>26</v>
      </c>
      <c r="M2120" t="b">
        <v>1</v>
      </c>
      <c r="N2120" t="s">
        <v>4467</v>
      </c>
      <c r="Q2120" t="b">
        <v>0</v>
      </c>
      <c r="S2120" t="str">
        <f>"9780310218494"</f>
        <v>9780310218494</v>
      </c>
      <c r="T2120" t="str">
        <f>"9780310877189"</f>
        <v>9780310877189</v>
      </c>
      <c r="U2120" t="b">
        <v>0</v>
      </c>
      <c r="W2120" t="b">
        <v>0</v>
      </c>
    </row>
    <row r="2121" spans="1:23" x14ac:dyDescent="0.3">
      <c r="A2121">
        <v>2980565</v>
      </c>
      <c r="B2121">
        <v>42.61</v>
      </c>
      <c r="C2121" t="s">
        <v>4766</v>
      </c>
      <c r="D2121" t="s">
        <v>4767</v>
      </c>
      <c r="E2121" t="s">
        <v>23</v>
      </c>
      <c r="F2121" t="s">
        <v>44</v>
      </c>
      <c r="G2121">
        <v>2018</v>
      </c>
      <c r="H2121" t="s">
        <v>58</v>
      </c>
      <c r="K2121" t="s">
        <v>25</v>
      </c>
      <c r="L2121" t="s">
        <v>26</v>
      </c>
      <c r="M2121" t="b">
        <v>1</v>
      </c>
      <c r="N2121" t="s">
        <v>4768</v>
      </c>
      <c r="Q2121" t="b">
        <v>0</v>
      </c>
      <c r="S2121" t="str">
        <f>"9780310351177"</f>
        <v>9780310351177</v>
      </c>
      <c r="T2121" t="str">
        <f>"9780310351191"</f>
        <v>9780310351191</v>
      </c>
      <c r="U2121" t="b">
        <v>0</v>
      </c>
      <c r="W2121" t="b">
        <v>0</v>
      </c>
    </row>
    <row r="2122" spans="1:23" x14ac:dyDescent="0.3">
      <c r="A2122">
        <v>2980564</v>
      </c>
      <c r="B2122">
        <v>51.72</v>
      </c>
      <c r="C2122" t="s">
        <v>4769</v>
      </c>
      <c r="D2122" t="s">
        <v>4770</v>
      </c>
      <c r="E2122" t="s">
        <v>23</v>
      </c>
      <c r="F2122" t="s">
        <v>44</v>
      </c>
      <c r="G2122">
        <v>2009</v>
      </c>
      <c r="H2122" t="s">
        <v>99</v>
      </c>
      <c r="K2122" t="s">
        <v>25</v>
      </c>
      <c r="L2122" t="s">
        <v>26</v>
      </c>
      <c r="M2122" t="b">
        <v>1</v>
      </c>
      <c r="N2122" t="s">
        <v>2641</v>
      </c>
      <c r="Q2122" t="b">
        <v>0</v>
      </c>
      <c r="S2122" t="str">
        <f>"9780310290803"</f>
        <v>9780310290803</v>
      </c>
      <c r="T2122" t="str">
        <f>"9780310563716"</f>
        <v>9780310563716</v>
      </c>
      <c r="U2122" t="b">
        <v>0</v>
      </c>
      <c r="W2122" t="b">
        <v>0</v>
      </c>
    </row>
    <row r="2123" spans="1:23" x14ac:dyDescent="0.3">
      <c r="A2123">
        <v>2980562</v>
      </c>
      <c r="B2123">
        <v>85.25</v>
      </c>
      <c r="C2123" t="s">
        <v>4771</v>
      </c>
      <c r="D2123" t="s">
        <v>4772</v>
      </c>
      <c r="E2123" t="s">
        <v>23</v>
      </c>
      <c r="F2123" t="s">
        <v>44</v>
      </c>
      <c r="G2123">
        <v>2015</v>
      </c>
      <c r="H2123" t="s">
        <v>67</v>
      </c>
      <c r="K2123" t="s">
        <v>25</v>
      </c>
      <c r="L2123" t="s">
        <v>30</v>
      </c>
      <c r="M2123" t="b">
        <v>1</v>
      </c>
      <c r="N2123" t="s">
        <v>3818</v>
      </c>
      <c r="P2123" t="s">
        <v>4367</v>
      </c>
      <c r="Q2123" t="b">
        <v>1</v>
      </c>
      <c r="T2123" t="str">
        <f>"9780310344070"</f>
        <v>9780310344070</v>
      </c>
      <c r="U2123" t="b">
        <v>0</v>
      </c>
      <c r="W2123" t="b">
        <v>0</v>
      </c>
    </row>
    <row r="2124" spans="1:23" x14ac:dyDescent="0.3">
      <c r="A2124">
        <v>2980561</v>
      </c>
      <c r="B2124">
        <v>27.57</v>
      </c>
      <c r="C2124" t="s">
        <v>4773</v>
      </c>
      <c r="E2124" t="s">
        <v>23</v>
      </c>
      <c r="F2124" t="s">
        <v>44</v>
      </c>
      <c r="G2124">
        <v>2017</v>
      </c>
      <c r="H2124" t="s">
        <v>772</v>
      </c>
      <c r="K2124" t="s">
        <v>25</v>
      </c>
      <c r="L2124" t="s">
        <v>26</v>
      </c>
      <c r="M2124" t="b">
        <v>1</v>
      </c>
      <c r="N2124" t="s">
        <v>776</v>
      </c>
      <c r="P2124" t="s">
        <v>3644</v>
      </c>
      <c r="Q2124" t="b">
        <v>1</v>
      </c>
      <c r="S2124" t="str">
        <f>"9780310362210"</f>
        <v>9780310362210</v>
      </c>
      <c r="T2124" t="str">
        <f>"9780310349037"</f>
        <v>9780310349037</v>
      </c>
      <c r="U2124" t="b">
        <v>0</v>
      </c>
      <c r="W2124" t="b">
        <v>0</v>
      </c>
    </row>
    <row r="2125" spans="1:23" x14ac:dyDescent="0.3">
      <c r="A2125">
        <v>2980560</v>
      </c>
      <c r="B2125">
        <v>56.82</v>
      </c>
      <c r="C2125" t="s">
        <v>4774</v>
      </c>
      <c r="D2125" t="s">
        <v>4775</v>
      </c>
      <c r="E2125" t="s">
        <v>23</v>
      </c>
      <c r="F2125" t="s">
        <v>44</v>
      </c>
      <c r="G2125">
        <v>2014</v>
      </c>
      <c r="H2125" t="s">
        <v>728</v>
      </c>
      <c r="K2125" t="s">
        <v>25</v>
      </c>
      <c r="L2125" t="s">
        <v>30</v>
      </c>
      <c r="M2125" t="b">
        <v>1</v>
      </c>
      <c r="N2125" t="s">
        <v>4128</v>
      </c>
      <c r="P2125" t="s">
        <v>2785</v>
      </c>
      <c r="Q2125" t="b">
        <v>1</v>
      </c>
      <c r="T2125" t="str">
        <f>"9780310396109"</f>
        <v>9780310396109</v>
      </c>
      <c r="U2125" t="b">
        <v>0</v>
      </c>
      <c r="W2125" t="b">
        <v>0</v>
      </c>
    </row>
    <row r="2126" spans="1:23" x14ac:dyDescent="0.3">
      <c r="A2126">
        <v>2980559</v>
      </c>
      <c r="B2126">
        <v>65.52</v>
      </c>
      <c r="C2126" t="s">
        <v>4776</v>
      </c>
      <c r="D2126" t="s">
        <v>4777</v>
      </c>
      <c r="E2126" t="s">
        <v>23</v>
      </c>
      <c r="F2126" t="s">
        <v>44</v>
      </c>
      <c r="G2126">
        <v>2021</v>
      </c>
      <c r="H2126" t="s">
        <v>89</v>
      </c>
      <c r="I2126" t="s">
        <v>4778</v>
      </c>
      <c r="J2126" t="s">
        <v>4779</v>
      </c>
      <c r="K2126" t="s">
        <v>25</v>
      </c>
      <c r="L2126" t="s">
        <v>26</v>
      </c>
      <c r="M2126" t="b">
        <v>1</v>
      </c>
      <c r="N2126" t="s">
        <v>2090</v>
      </c>
      <c r="O2126" t="str">
        <f>"248.843"</f>
        <v>248.843</v>
      </c>
      <c r="Q2126" t="b">
        <v>0</v>
      </c>
      <c r="S2126" t="str">
        <f>"9780310352464"</f>
        <v>9780310352464</v>
      </c>
      <c r="T2126" t="str">
        <f>"9780310352501"</f>
        <v>9780310352501</v>
      </c>
      <c r="U2126" t="b">
        <v>0</v>
      </c>
      <c r="W2126" t="b">
        <v>0</v>
      </c>
    </row>
    <row r="2127" spans="1:23" x14ac:dyDescent="0.3">
      <c r="A2127">
        <v>2980558</v>
      </c>
      <c r="B2127">
        <v>44.82</v>
      </c>
      <c r="C2127" t="s">
        <v>4780</v>
      </c>
      <c r="E2127" t="s">
        <v>23</v>
      </c>
      <c r="F2127" t="s">
        <v>44</v>
      </c>
      <c r="G2127">
        <v>2009</v>
      </c>
      <c r="H2127" t="s">
        <v>74</v>
      </c>
      <c r="K2127" t="s">
        <v>25</v>
      </c>
      <c r="L2127" t="s">
        <v>30</v>
      </c>
      <c r="M2127" t="b">
        <v>1</v>
      </c>
      <c r="N2127" t="s">
        <v>2747</v>
      </c>
      <c r="P2127" t="s">
        <v>2748</v>
      </c>
      <c r="Q2127" t="b">
        <v>1</v>
      </c>
      <c r="S2127" t="str">
        <f>"9780310263944"</f>
        <v>9780310263944</v>
      </c>
      <c r="T2127" t="str">
        <f>"9780310543718"</f>
        <v>9780310543718</v>
      </c>
      <c r="U2127" t="b">
        <v>0</v>
      </c>
      <c r="W2127" t="b">
        <v>0</v>
      </c>
    </row>
    <row r="2128" spans="1:23" x14ac:dyDescent="0.3">
      <c r="A2128">
        <v>2980557</v>
      </c>
      <c r="B2128">
        <v>46.16</v>
      </c>
      <c r="C2128" t="s">
        <v>4781</v>
      </c>
      <c r="E2128" t="s">
        <v>23</v>
      </c>
      <c r="F2128" t="s">
        <v>44</v>
      </c>
      <c r="G2128">
        <v>2012</v>
      </c>
      <c r="H2128" t="s">
        <v>58</v>
      </c>
      <c r="K2128" t="s">
        <v>25</v>
      </c>
      <c r="L2128" t="s">
        <v>30</v>
      </c>
      <c r="M2128" t="b">
        <v>1</v>
      </c>
      <c r="N2128" t="s">
        <v>4782</v>
      </c>
      <c r="Q2128" t="b">
        <v>0</v>
      </c>
      <c r="S2128" t="str">
        <f>"9780310330370"</f>
        <v>9780310330370</v>
      </c>
      <c r="T2128" t="str">
        <f>"9780310415282"</f>
        <v>9780310415282</v>
      </c>
      <c r="U2128" t="b">
        <v>0</v>
      </c>
      <c r="W2128" t="b">
        <v>0</v>
      </c>
    </row>
    <row r="2129" spans="1:23" x14ac:dyDescent="0.3">
      <c r="A2129">
        <v>2980556</v>
      </c>
      <c r="B2129">
        <v>65.52</v>
      </c>
      <c r="C2129" t="s">
        <v>4783</v>
      </c>
      <c r="D2129" t="s">
        <v>4784</v>
      </c>
      <c r="E2129" t="s">
        <v>23</v>
      </c>
      <c r="F2129" t="s">
        <v>44</v>
      </c>
      <c r="G2129">
        <v>2019</v>
      </c>
      <c r="H2129" t="s">
        <v>56</v>
      </c>
      <c r="K2129" t="s">
        <v>25</v>
      </c>
      <c r="L2129" t="s">
        <v>26</v>
      </c>
      <c r="M2129" t="b">
        <v>1</v>
      </c>
      <c r="N2129" t="s">
        <v>4513</v>
      </c>
      <c r="Q2129" t="b">
        <v>0</v>
      </c>
      <c r="S2129" t="str">
        <f>"9780310362043"</f>
        <v>9780310362043</v>
      </c>
      <c r="T2129" t="str">
        <f>"9780310352174"</f>
        <v>9780310352174</v>
      </c>
      <c r="U2129" t="b">
        <v>0</v>
      </c>
      <c r="W2129" t="b">
        <v>0</v>
      </c>
    </row>
    <row r="2130" spans="1:23" x14ac:dyDescent="0.3">
      <c r="A2130">
        <v>2980555</v>
      </c>
      <c r="B2130">
        <v>14.18</v>
      </c>
      <c r="C2130" t="s">
        <v>4785</v>
      </c>
      <c r="D2130" t="s">
        <v>2707</v>
      </c>
      <c r="E2130" t="s">
        <v>23</v>
      </c>
      <c r="F2130" t="s">
        <v>44</v>
      </c>
      <c r="G2130">
        <v>2018</v>
      </c>
      <c r="H2130" t="s">
        <v>772</v>
      </c>
      <c r="K2130" t="s">
        <v>25</v>
      </c>
      <c r="L2130" t="s">
        <v>30</v>
      </c>
      <c r="M2130" t="b">
        <v>1</v>
      </c>
      <c r="N2130" t="s">
        <v>773</v>
      </c>
      <c r="Q2130" t="b">
        <v>1</v>
      </c>
      <c r="T2130" t="str">
        <f>"9780310352006"</f>
        <v>9780310352006</v>
      </c>
      <c r="U2130" t="b">
        <v>0</v>
      </c>
      <c r="W2130" t="b">
        <v>0</v>
      </c>
    </row>
    <row r="2131" spans="1:23" x14ac:dyDescent="0.3">
      <c r="A2131">
        <v>2980554</v>
      </c>
      <c r="B2131">
        <v>62.07</v>
      </c>
      <c r="C2131" t="s">
        <v>4786</v>
      </c>
      <c r="E2131" t="s">
        <v>23</v>
      </c>
      <c r="F2131" t="s">
        <v>44</v>
      </c>
      <c r="G2131">
        <v>2017</v>
      </c>
      <c r="H2131" t="s">
        <v>56</v>
      </c>
      <c r="K2131" t="s">
        <v>25</v>
      </c>
      <c r="L2131" t="s">
        <v>26</v>
      </c>
      <c r="M2131" t="b">
        <v>1</v>
      </c>
      <c r="N2131" t="s">
        <v>4787</v>
      </c>
      <c r="Q2131" t="b">
        <v>0</v>
      </c>
      <c r="S2131" t="str">
        <f>"9780310348337"</f>
        <v>9780310348337</v>
      </c>
      <c r="T2131" t="str">
        <f>"9780310348351"</f>
        <v>9780310348351</v>
      </c>
      <c r="U2131" t="b">
        <v>0</v>
      </c>
      <c r="W2131" t="b">
        <v>0</v>
      </c>
    </row>
    <row r="2132" spans="1:23" x14ac:dyDescent="0.3">
      <c r="A2132">
        <v>2980553</v>
      </c>
      <c r="B2132">
        <v>51.72</v>
      </c>
      <c r="C2132" t="s">
        <v>4788</v>
      </c>
      <c r="E2132" t="s">
        <v>23</v>
      </c>
      <c r="F2132" t="s">
        <v>44</v>
      </c>
      <c r="G2132">
        <v>2015</v>
      </c>
      <c r="H2132" t="s">
        <v>56</v>
      </c>
      <c r="K2132" t="s">
        <v>25</v>
      </c>
      <c r="L2132" t="s">
        <v>30</v>
      </c>
      <c r="M2132" t="b">
        <v>1</v>
      </c>
      <c r="N2132" t="s">
        <v>795</v>
      </c>
      <c r="Q2132" t="b">
        <v>0</v>
      </c>
      <c r="S2132" t="str">
        <f>"9780310342199"</f>
        <v>9780310342199</v>
      </c>
      <c r="T2132" t="str">
        <f>"9780310342205"</f>
        <v>9780310342205</v>
      </c>
      <c r="U2132" t="b">
        <v>0</v>
      </c>
      <c r="W2132" t="b">
        <v>0</v>
      </c>
    </row>
    <row r="2133" spans="1:23" x14ac:dyDescent="0.3">
      <c r="A2133">
        <v>2980552</v>
      </c>
      <c r="B2133">
        <v>44.82</v>
      </c>
      <c r="C2133" t="s">
        <v>4789</v>
      </c>
      <c r="D2133" t="s">
        <v>4790</v>
      </c>
      <c r="E2133" t="s">
        <v>23</v>
      </c>
      <c r="F2133" t="s">
        <v>44</v>
      </c>
      <c r="G2133">
        <v>2010</v>
      </c>
      <c r="H2133" t="s">
        <v>56</v>
      </c>
      <c r="K2133" t="s">
        <v>25</v>
      </c>
      <c r="L2133" t="s">
        <v>30</v>
      </c>
      <c r="M2133" t="b">
        <v>1</v>
      </c>
      <c r="N2133" t="s">
        <v>4791</v>
      </c>
      <c r="Q2133" t="b">
        <v>0</v>
      </c>
      <c r="S2133" t="str">
        <f>"9780310286615"</f>
        <v>9780310286615</v>
      </c>
      <c r="T2133" t="str">
        <f>"9780310562566"</f>
        <v>9780310562566</v>
      </c>
      <c r="U2133" t="b">
        <v>0</v>
      </c>
      <c r="W2133" t="b">
        <v>0</v>
      </c>
    </row>
    <row r="2134" spans="1:23" x14ac:dyDescent="0.3">
      <c r="A2134">
        <v>2980551</v>
      </c>
      <c r="B2134">
        <v>86.22</v>
      </c>
      <c r="C2134" t="s">
        <v>4792</v>
      </c>
      <c r="D2134" t="s">
        <v>4793</v>
      </c>
      <c r="E2134" t="s">
        <v>23</v>
      </c>
      <c r="F2134" t="s">
        <v>44</v>
      </c>
      <c r="G2134">
        <v>2019</v>
      </c>
      <c r="H2134" t="s">
        <v>1076</v>
      </c>
      <c r="K2134" t="s">
        <v>25</v>
      </c>
      <c r="L2134" t="s">
        <v>26</v>
      </c>
      <c r="M2134" t="b">
        <v>1</v>
      </c>
      <c r="N2134" t="s">
        <v>4794</v>
      </c>
      <c r="Q2134" t="b">
        <v>0</v>
      </c>
      <c r="S2134" t="str">
        <f>"9780310351702"</f>
        <v>9780310351702</v>
      </c>
      <c r="T2134" t="str">
        <f>"9780310353171"</f>
        <v>9780310353171</v>
      </c>
      <c r="U2134" t="b">
        <v>0</v>
      </c>
      <c r="W2134" t="b">
        <v>0</v>
      </c>
    </row>
    <row r="2135" spans="1:23" x14ac:dyDescent="0.3">
      <c r="A2135">
        <v>2980550</v>
      </c>
      <c r="B2135">
        <v>55.17</v>
      </c>
      <c r="C2135" t="s">
        <v>4795</v>
      </c>
      <c r="D2135" t="s">
        <v>4796</v>
      </c>
      <c r="E2135" t="s">
        <v>23</v>
      </c>
      <c r="F2135" t="s">
        <v>44</v>
      </c>
      <c r="G2135">
        <v>2009</v>
      </c>
      <c r="H2135" t="s">
        <v>89</v>
      </c>
      <c r="I2135" t="s">
        <v>4797</v>
      </c>
      <c r="J2135" t="s">
        <v>895</v>
      </c>
      <c r="K2135" t="s">
        <v>25</v>
      </c>
      <c r="L2135" t="s">
        <v>30</v>
      </c>
      <c r="M2135" t="b">
        <v>1</v>
      </c>
      <c r="N2135" t="s">
        <v>554</v>
      </c>
      <c r="O2135" t="str">
        <f>"248.8/43"</f>
        <v>248.8/43</v>
      </c>
      <c r="Q2135" t="b">
        <v>0</v>
      </c>
      <c r="S2135" t="str">
        <f>"9780310324973"</f>
        <v>9780310324973</v>
      </c>
      <c r="T2135" t="str">
        <f>"9780310543770"</f>
        <v>9780310543770</v>
      </c>
      <c r="U2135" t="b">
        <v>0</v>
      </c>
      <c r="W2135" t="b">
        <v>0</v>
      </c>
    </row>
    <row r="2136" spans="1:23" x14ac:dyDescent="0.3">
      <c r="A2136">
        <v>2980549</v>
      </c>
      <c r="B2136">
        <v>39.049999999999997</v>
      </c>
      <c r="C2136" t="s">
        <v>4798</v>
      </c>
      <c r="D2136" t="s">
        <v>4799</v>
      </c>
      <c r="E2136" t="s">
        <v>23</v>
      </c>
      <c r="F2136" t="s">
        <v>44</v>
      </c>
      <c r="G2136">
        <v>2009</v>
      </c>
      <c r="H2136" t="s">
        <v>62</v>
      </c>
      <c r="K2136" t="s">
        <v>25</v>
      </c>
      <c r="L2136" t="s">
        <v>30</v>
      </c>
      <c r="M2136" t="b">
        <v>1</v>
      </c>
      <c r="N2136" t="s">
        <v>2807</v>
      </c>
      <c r="Q2136" t="b">
        <v>0</v>
      </c>
      <c r="T2136" t="str">
        <f>"9780310860303"</f>
        <v>9780310860303</v>
      </c>
      <c r="U2136" t="b">
        <v>0</v>
      </c>
      <c r="W2136" t="b">
        <v>0</v>
      </c>
    </row>
    <row r="2137" spans="1:23" x14ac:dyDescent="0.3">
      <c r="A2137">
        <v>2980548</v>
      </c>
      <c r="B2137">
        <v>68.97</v>
      </c>
      <c r="C2137" t="s">
        <v>4800</v>
      </c>
      <c r="E2137" t="s">
        <v>23</v>
      </c>
      <c r="F2137" t="s">
        <v>44</v>
      </c>
      <c r="G2137">
        <v>2017</v>
      </c>
      <c r="H2137" t="s">
        <v>58</v>
      </c>
      <c r="K2137" t="s">
        <v>25</v>
      </c>
      <c r="L2137" t="s">
        <v>26</v>
      </c>
      <c r="M2137" t="b">
        <v>1</v>
      </c>
      <c r="N2137" t="s">
        <v>908</v>
      </c>
      <c r="Q2137" t="b">
        <v>0</v>
      </c>
      <c r="S2137" t="str">
        <f>"9780310344209"</f>
        <v>9780310344209</v>
      </c>
      <c r="T2137" t="str">
        <f>"9780310344247"</f>
        <v>9780310344247</v>
      </c>
      <c r="U2137" t="b">
        <v>0</v>
      </c>
      <c r="W2137" t="b">
        <v>0</v>
      </c>
    </row>
    <row r="2138" spans="1:23" x14ac:dyDescent="0.3">
      <c r="A2138">
        <v>2980547</v>
      </c>
      <c r="B2138">
        <v>113.68</v>
      </c>
      <c r="C2138" t="s">
        <v>4801</v>
      </c>
      <c r="D2138" t="s">
        <v>4802</v>
      </c>
      <c r="E2138" t="s">
        <v>23</v>
      </c>
      <c r="F2138" t="s">
        <v>44</v>
      </c>
      <c r="G2138">
        <v>2014</v>
      </c>
      <c r="H2138" t="s">
        <v>66</v>
      </c>
      <c r="K2138" t="s">
        <v>25</v>
      </c>
      <c r="L2138" t="s">
        <v>30</v>
      </c>
      <c r="M2138" t="b">
        <v>1</v>
      </c>
      <c r="N2138" t="s">
        <v>77</v>
      </c>
      <c r="P2138" t="s">
        <v>3054</v>
      </c>
      <c r="Q2138" t="b">
        <v>1</v>
      </c>
      <c r="T2138" t="str">
        <f>"9780310342687"</f>
        <v>9780310342687</v>
      </c>
      <c r="U2138" t="b">
        <v>0</v>
      </c>
      <c r="W2138" t="b">
        <v>0</v>
      </c>
    </row>
    <row r="2139" spans="1:23" x14ac:dyDescent="0.3">
      <c r="A2139">
        <v>2980546</v>
      </c>
      <c r="B2139">
        <v>65.52</v>
      </c>
      <c r="C2139" t="s">
        <v>4803</v>
      </c>
      <c r="D2139" t="s">
        <v>4804</v>
      </c>
      <c r="E2139" t="s">
        <v>23</v>
      </c>
      <c r="F2139" t="s">
        <v>44</v>
      </c>
      <c r="G2139">
        <v>2018</v>
      </c>
      <c r="H2139" t="s">
        <v>58</v>
      </c>
      <c r="K2139" t="s">
        <v>25</v>
      </c>
      <c r="L2139" t="s">
        <v>26</v>
      </c>
      <c r="M2139" t="b">
        <v>1</v>
      </c>
      <c r="N2139" t="s">
        <v>2807</v>
      </c>
      <c r="Q2139" t="b">
        <v>0</v>
      </c>
      <c r="S2139" t="str">
        <f>"9780310341727"</f>
        <v>9780310341727</v>
      </c>
      <c r="T2139" t="str">
        <f>"9780310341734"</f>
        <v>9780310341734</v>
      </c>
      <c r="U2139" t="b">
        <v>0</v>
      </c>
      <c r="W2139" t="b">
        <v>0</v>
      </c>
    </row>
    <row r="2140" spans="1:23" x14ac:dyDescent="0.3">
      <c r="A2140">
        <v>2980545</v>
      </c>
      <c r="B2140">
        <v>58.62</v>
      </c>
      <c r="C2140" t="s">
        <v>4805</v>
      </c>
      <c r="D2140" t="s">
        <v>4806</v>
      </c>
      <c r="E2140" t="s">
        <v>23</v>
      </c>
      <c r="F2140" t="s">
        <v>44</v>
      </c>
      <c r="G2140">
        <v>2014</v>
      </c>
      <c r="H2140" t="s">
        <v>89</v>
      </c>
      <c r="K2140" t="s">
        <v>25</v>
      </c>
      <c r="L2140" t="s">
        <v>26</v>
      </c>
      <c r="M2140" t="b">
        <v>1</v>
      </c>
      <c r="N2140" t="s">
        <v>4807</v>
      </c>
      <c r="Q2140" t="b">
        <v>0</v>
      </c>
      <c r="S2140" t="str">
        <f>"9780310330745"</f>
        <v>9780310330745</v>
      </c>
      <c r="T2140" t="str">
        <f>"9780310330790"</f>
        <v>9780310330790</v>
      </c>
      <c r="U2140" t="b">
        <v>0</v>
      </c>
      <c r="W2140" t="b">
        <v>0</v>
      </c>
    </row>
    <row r="2141" spans="1:23" x14ac:dyDescent="0.3">
      <c r="A2141">
        <v>2980544</v>
      </c>
      <c r="B2141">
        <v>55.17</v>
      </c>
      <c r="C2141" t="s">
        <v>4808</v>
      </c>
      <c r="E2141" t="s">
        <v>23</v>
      </c>
      <c r="F2141" t="s">
        <v>44</v>
      </c>
      <c r="G2141">
        <v>2018</v>
      </c>
      <c r="H2141" t="s">
        <v>772</v>
      </c>
      <c r="K2141" t="s">
        <v>25</v>
      </c>
      <c r="L2141" t="s">
        <v>26</v>
      </c>
      <c r="M2141" t="b">
        <v>1</v>
      </c>
      <c r="N2141" t="s">
        <v>776</v>
      </c>
      <c r="P2141" t="s">
        <v>3644</v>
      </c>
      <c r="Q2141" t="b">
        <v>1</v>
      </c>
      <c r="S2141" t="str">
        <f>"9780310349082"</f>
        <v>9780310349082</v>
      </c>
      <c r="T2141" t="str">
        <f>"9780310349099"</f>
        <v>9780310349099</v>
      </c>
      <c r="U2141" t="b">
        <v>0</v>
      </c>
      <c r="W2141" t="b">
        <v>0</v>
      </c>
    </row>
    <row r="2142" spans="1:23" x14ac:dyDescent="0.3">
      <c r="A2142">
        <v>2980543</v>
      </c>
      <c r="B2142">
        <v>65.52</v>
      </c>
      <c r="C2142" t="s">
        <v>4809</v>
      </c>
      <c r="D2142" t="s">
        <v>4810</v>
      </c>
      <c r="E2142" t="s">
        <v>23</v>
      </c>
      <c r="F2142" t="s">
        <v>44</v>
      </c>
      <c r="G2142">
        <v>2019</v>
      </c>
      <c r="H2142" t="s">
        <v>2333</v>
      </c>
      <c r="K2142" t="s">
        <v>25</v>
      </c>
      <c r="L2142" t="s">
        <v>26</v>
      </c>
      <c r="M2142" t="b">
        <v>1</v>
      </c>
      <c r="N2142" t="s">
        <v>4811</v>
      </c>
      <c r="Q2142" t="b">
        <v>0</v>
      </c>
      <c r="S2142" t="str">
        <f>"9780310452577"</f>
        <v>9780310452577</v>
      </c>
      <c r="T2142" t="str">
        <f>"9780310452591"</f>
        <v>9780310452591</v>
      </c>
      <c r="U2142" t="b">
        <v>0</v>
      </c>
      <c r="W2142" t="b">
        <v>0</v>
      </c>
    </row>
    <row r="2143" spans="1:23" x14ac:dyDescent="0.3">
      <c r="A2143">
        <v>2980542</v>
      </c>
      <c r="B2143">
        <v>53.27</v>
      </c>
      <c r="C2143" t="s">
        <v>4812</v>
      </c>
      <c r="D2143" t="s">
        <v>4813</v>
      </c>
      <c r="E2143" t="s">
        <v>23</v>
      </c>
      <c r="F2143" t="s">
        <v>44</v>
      </c>
      <c r="G2143">
        <v>2009</v>
      </c>
      <c r="H2143" t="s">
        <v>132</v>
      </c>
      <c r="K2143" t="s">
        <v>25</v>
      </c>
      <c r="L2143" t="s">
        <v>30</v>
      </c>
      <c r="M2143" t="b">
        <v>1</v>
      </c>
      <c r="N2143" t="s">
        <v>4814</v>
      </c>
      <c r="Q2143" t="b">
        <v>0</v>
      </c>
      <c r="T2143" t="str">
        <f>"9780310562207"</f>
        <v>9780310562207</v>
      </c>
      <c r="U2143" t="b">
        <v>0</v>
      </c>
      <c r="W2143" t="b">
        <v>0</v>
      </c>
    </row>
    <row r="2144" spans="1:23" x14ac:dyDescent="0.3">
      <c r="A2144">
        <v>2980541</v>
      </c>
      <c r="B2144">
        <v>44.82</v>
      </c>
      <c r="C2144" t="s">
        <v>4815</v>
      </c>
      <c r="D2144" t="s">
        <v>4816</v>
      </c>
      <c r="E2144" t="s">
        <v>23</v>
      </c>
      <c r="F2144" t="s">
        <v>44</v>
      </c>
      <c r="G2144">
        <v>2010</v>
      </c>
      <c r="H2144" t="s">
        <v>89</v>
      </c>
      <c r="K2144" t="s">
        <v>25</v>
      </c>
      <c r="M2144" t="b">
        <v>1</v>
      </c>
      <c r="N2144" t="s">
        <v>3769</v>
      </c>
      <c r="Q2144" t="b">
        <v>0</v>
      </c>
      <c r="S2144" t="str">
        <f>"9780310248569"</f>
        <v>9780310248569</v>
      </c>
      <c r="T2144" t="str">
        <f>"9780310877233"</f>
        <v>9780310877233</v>
      </c>
      <c r="U2144" t="b">
        <v>0</v>
      </c>
      <c r="W2144" t="b">
        <v>0</v>
      </c>
    </row>
    <row r="2145" spans="1:23" x14ac:dyDescent="0.3">
      <c r="A2145">
        <v>2980540</v>
      </c>
      <c r="B2145">
        <v>55.17</v>
      </c>
      <c r="C2145" t="s">
        <v>4817</v>
      </c>
      <c r="D2145" t="s">
        <v>4818</v>
      </c>
      <c r="E2145" t="s">
        <v>23</v>
      </c>
      <c r="F2145" t="s">
        <v>44</v>
      </c>
      <c r="G2145">
        <v>2015</v>
      </c>
      <c r="H2145" t="s">
        <v>737</v>
      </c>
      <c r="K2145" t="s">
        <v>25</v>
      </c>
      <c r="L2145" t="s">
        <v>26</v>
      </c>
      <c r="M2145" t="b">
        <v>1</v>
      </c>
      <c r="N2145" t="s">
        <v>4819</v>
      </c>
      <c r="Q2145" t="b">
        <v>0</v>
      </c>
      <c r="S2145" t="str">
        <f>"9780310343370"</f>
        <v>9780310343370</v>
      </c>
      <c r="T2145" t="str">
        <f>"9780310343394"</f>
        <v>9780310343394</v>
      </c>
      <c r="U2145" t="b">
        <v>0</v>
      </c>
      <c r="W2145" t="b">
        <v>0</v>
      </c>
    </row>
    <row r="2146" spans="1:23" x14ac:dyDescent="0.3">
      <c r="A2146">
        <v>2980539</v>
      </c>
      <c r="B2146">
        <v>46.16</v>
      </c>
      <c r="C2146" t="s">
        <v>4820</v>
      </c>
      <c r="D2146" t="s">
        <v>4821</v>
      </c>
      <c r="E2146" t="s">
        <v>23</v>
      </c>
      <c r="F2146" t="s">
        <v>44</v>
      </c>
      <c r="G2146">
        <v>2010</v>
      </c>
      <c r="H2146" t="s">
        <v>132</v>
      </c>
      <c r="K2146" t="s">
        <v>25</v>
      </c>
      <c r="L2146" t="s">
        <v>30</v>
      </c>
      <c r="M2146" t="b">
        <v>1</v>
      </c>
      <c r="N2146" t="s">
        <v>2807</v>
      </c>
      <c r="Q2146" t="b">
        <v>0</v>
      </c>
      <c r="T2146" t="str">
        <f>"9780310565406"</f>
        <v>9780310565406</v>
      </c>
      <c r="U2146" t="b">
        <v>0</v>
      </c>
      <c r="W2146" t="b">
        <v>0</v>
      </c>
    </row>
    <row r="2147" spans="1:23" x14ac:dyDescent="0.3">
      <c r="A2147">
        <v>2980538</v>
      </c>
      <c r="B2147">
        <v>81.7</v>
      </c>
      <c r="C2147" t="s">
        <v>4822</v>
      </c>
      <c r="E2147" t="s">
        <v>23</v>
      </c>
      <c r="F2147" t="s">
        <v>44</v>
      </c>
      <c r="G2147">
        <v>2012</v>
      </c>
      <c r="H2147" t="s">
        <v>3079</v>
      </c>
      <c r="K2147" t="s">
        <v>25</v>
      </c>
      <c r="L2147" t="s">
        <v>30</v>
      </c>
      <c r="M2147" t="b">
        <v>1</v>
      </c>
      <c r="N2147" t="s">
        <v>44</v>
      </c>
      <c r="Q2147" t="b">
        <v>0</v>
      </c>
      <c r="T2147" t="str">
        <f>"9780310410904"</f>
        <v>9780310410904</v>
      </c>
      <c r="U2147" t="b">
        <v>0</v>
      </c>
      <c r="W2147" t="b">
        <v>0</v>
      </c>
    </row>
    <row r="2148" spans="1:23" x14ac:dyDescent="0.3">
      <c r="A2148">
        <v>2980537</v>
      </c>
      <c r="B2148">
        <v>44.82</v>
      </c>
      <c r="C2148" t="s">
        <v>4823</v>
      </c>
      <c r="D2148" t="s">
        <v>4824</v>
      </c>
      <c r="E2148" t="s">
        <v>23</v>
      </c>
      <c r="F2148" t="s">
        <v>44</v>
      </c>
      <c r="G2148">
        <v>2009</v>
      </c>
      <c r="H2148" t="s">
        <v>58</v>
      </c>
      <c r="K2148" t="s">
        <v>25</v>
      </c>
      <c r="L2148" t="s">
        <v>26</v>
      </c>
      <c r="M2148" t="b">
        <v>1</v>
      </c>
      <c r="N2148" t="s">
        <v>4825</v>
      </c>
      <c r="Q2148" t="b">
        <v>0</v>
      </c>
      <c r="S2148" t="str">
        <f>"9780310247739"</f>
        <v>9780310247739</v>
      </c>
      <c r="T2148" t="str">
        <f>"9780310862680"</f>
        <v>9780310862680</v>
      </c>
      <c r="U2148" t="b">
        <v>0</v>
      </c>
      <c r="W2148" t="b">
        <v>0</v>
      </c>
    </row>
    <row r="2149" spans="1:23" x14ac:dyDescent="0.3">
      <c r="A2149">
        <v>2980536</v>
      </c>
      <c r="B2149">
        <v>51.72</v>
      </c>
      <c r="C2149" t="s">
        <v>4826</v>
      </c>
      <c r="D2149" t="s">
        <v>1405</v>
      </c>
      <c r="E2149" t="s">
        <v>23</v>
      </c>
      <c r="F2149" t="s">
        <v>44</v>
      </c>
      <c r="G2149">
        <v>2009</v>
      </c>
      <c r="H2149" t="s">
        <v>74</v>
      </c>
      <c r="K2149" t="s">
        <v>25</v>
      </c>
      <c r="L2149" t="s">
        <v>30</v>
      </c>
      <c r="M2149" t="b">
        <v>1</v>
      </c>
      <c r="N2149" t="s">
        <v>2959</v>
      </c>
      <c r="P2149" t="s">
        <v>2960</v>
      </c>
      <c r="Q2149" t="b">
        <v>1</v>
      </c>
      <c r="S2149" t="str">
        <f>"9780310278375"</f>
        <v>9780310278375</v>
      </c>
      <c r="T2149" t="str">
        <f>"9780310564386"</f>
        <v>9780310564386</v>
      </c>
      <c r="U2149" t="b">
        <v>0</v>
      </c>
      <c r="W2149" t="b">
        <v>0</v>
      </c>
    </row>
    <row r="2150" spans="1:23" x14ac:dyDescent="0.3">
      <c r="A2150">
        <v>2980535</v>
      </c>
      <c r="B2150">
        <v>88.8</v>
      </c>
      <c r="C2150" t="s">
        <v>4827</v>
      </c>
      <c r="D2150" t="s">
        <v>4828</v>
      </c>
      <c r="E2150" t="s">
        <v>23</v>
      </c>
      <c r="F2150" t="s">
        <v>44</v>
      </c>
      <c r="G2150">
        <v>2019</v>
      </c>
      <c r="H2150" t="s">
        <v>772</v>
      </c>
      <c r="K2150" t="s">
        <v>25</v>
      </c>
      <c r="L2150" t="s">
        <v>30</v>
      </c>
      <c r="M2150" t="b">
        <v>1</v>
      </c>
      <c r="N2150" t="s">
        <v>3144</v>
      </c>
      <c r="P2150" t="s">
        <v>3145</v>
      </c>
      <c r="Q2150" t="b">
        <v>1</v>
      </c>
      <c r="T2150" t="str">
        <f>"9780310358107"</f>
        <v>9780310358107</v>
      </c>
      <c r="U2150" t="b">
        <v>0</v>
      </c>
      <c r="W2150" t="b">
        <v>0</v>
      </c>
    </row>
    <row r="2151" spans="1:23" x14ac:dyDescent="0.3">
      <c r="A2151">
        <v>2980534</v>
      </c>
      <c r="B2151">
        <v>55.17</v>
      </c>
      <c r="C2151" t="s">
        <v>4829</v>
      </c>
      <c r="E2151" t="s">
        <v>23</v>
      </c>
      <c r="F2151" t="s">
        <v>44</v>
      </c>
      <c r="G2151">
        <v>2017</v>
      </c>
      <c r="H2151" t="s">
        <v>728</v>
      </c>
      <c r="K2151" t="s">
        <v>25</v>
      </c>
      <c r="L2151" t="s">
        <v>26</v>
      </c>
      <c r="M2151" t="b">
        <v>1</v>
      </c>
      <c r="N2151" t="s">
        <v>4128</v>
      </c>
      <c r="Q2151" t="b">
        <v>1</v>
      </c>
      <c r="S2151" t="str">
        <f>"9780310341598"</f>
        <v>9780310341598</v>
      </c>
      <c r="T2151" t="str">
        <f>"9780310343585"</f>
        <v>9780310343585</v>
      </c>
      <c r="U2151" t="b">
        <v>0</v>
      </c>
      <c r="W2151" t="b">
        <v>0</v>
      </c>
    </row>
    <row r="2152" spans="1:23" x14ac:dyDescent="0.3">
      <c r="A2152">
        <v>2980533</v>
      </c>
      <c r="B2152">
        <v>27.57</v>
      </c>
      <c r="C2152" t="s">
        <v>4830</v>
      </c>
      <c r="E2152" t="s">
        <v>23</v>
      </c>
      <c r="F2152" t="s">
        <v>44</v>
      </c>
      <c r="G2152">
        <v>2016</v>
      </c>
      <c r="H2152" t="s">
        <v>772</v>
      </c>
      <c r="K2152" t="s">
        <v>25</v>
      </c>
      <c r="L2152" t="s">
        <v>26</v>
      </c>
      <c r="M2152" t="b">
        <v>1</v>
      </c>
      <c r="N2152" t="s">
        <v>776</v>
      </c>
      <c r="P2152" t="s">
        <v>3888</v>
      </c>
      <c r="Q2152" t="b">
        <v>1</v>
      </c>
      <c r="S2152" t="str">
        <f>"9780310359890"</f>
        <v>9780310359890</v>
      </c>
      <c r="T2152" t="str">
        <f>"9780310342724"</f>
        <v>9780310342724</v>
      </c>
      <c r="U2152" t="b">
        <v>0</v>
      </c>
      <c r="W2152" t="b">
        <v>0</v>
      </c>
    </row>
    <row r="2153" spans="1:23" x14ac:dyDescent="0.3">
      <c r="A2153">
        <v>2980532</v>
      </c>
      <c r="B2153">
        <v>27.57</v>
      </c>
      <c r="C2153" t="s">
        <v>4831</v>
      </c>
      <c r="E2153" t="s">
        <v>23</v>
      </c>
      <c r="F2153" t="s">
        <v>44</v>
      </c>
      <c r="G2153">
        <v>2012</v>
      </c>
      <c r="H2153" t="s">
        <v>772</v>
      </c>
      <c r="K2153" t="s">
        <v>25</v>
      </c>
      <c r="L2153" t="s">
        <v>30</v>
      </c>
      <c r="M2153" t="b">
        <v>1</v>
      </c>
      <c r="N2153" t="s">
        <v>962</v>
      </c>
      <c r="P2153" t="s">
        <v>4269</v>
      </c>
      <c r="Q2153" t="b">
        <v>1</v>
      </c>
      <c r="S2153" t="str">
        <f>"9780785217138"</f>
        <v>9780785217138</v>
      </c>
      <c r="T2153" t="str">
        <f>"9780310415879"</f>
        <v>9780310415879</v>
      </c>
      <c r="U2153" t="b">
        <v>0</v>
      </c>
      <c r="W2153" t="b">
        <v>0</v>
      </c>
    </row>
    <row r="2154" spans="1:23" x14ac:dyDescent="0.3">
      <c r="A2154">
        <v>2980531</v>
      </c>
      <c r="B2154">
        <v>62.07</v>
      </c>
      <c r="C2154" t="s">
        <v>4832</v>
      </c>
      <c r="D2154" t="s">
        <v>4833</v>
      </c>
      <c r="E2154" t="s">
        <v>23</v>
      </c>
      <c r="F2154" t="s">
        <v>44</v>
      </c>
      <c r="G2154">
        <v>2017</v>
      </c>
      <c r="H2154" t="s">
        <v>912</v>
      </c>
      <c r="K2154" t="s">
        <v>25</v>
      </c>
      <c r="L2154" t="s">
        <v>26</v>
      </c>
      <c r="M2154" t="b">
        <v>1</v>
      </c>
      <c r="N2154" t="s">
        <v>3873</v>
      </c>
      <c r="Q2154" t="b">
        <v>0</v>
      </c>
      <c r="S2154" t="str">
        <f>"9780310345466"</f>
        <v>9780310345466</v>
      </c>
      <c r="T2154" t="str">
        <f>"9780310345497"</f>
        <v>9780310345497</v>
      </c>
      <c r="U2154" t="b">
        <v>0</v>
      </c>
      <c r="W2154" t="b">
        <v>0</v>
      </c>
    </row>
    <row r="2155" spans="1:23" x14ac:dyDescent="0.3">
      <c r="A2155">
        <v>2980530</v>
      </c>
      <c r="B2155">
        <v>58.62</v>
      </c>
      <c r="C2155" t="s">
        <v>4834</v>
      </c>
      <c r="D2155" t="s">
        <v>4835</v>
      </c>
      <c r="E2155" t="s">
        <v>23</v>
      </c>
      <c r="F2155" t="s">
        <v>44</v>
      </c>
      <c r="G2155">
        <v>2009</v>
      </c>
      <c r="H2155" t="s">
        <v>99</v>
      </c>
      <c r="K2155" t="s">
        <v>25</v>
      </c>
      <c r="L2155" t="s">
        <v>30</v>
      </c>
      <c r="M2155" t="b">
        <v>1</v>
      </c>
      <c r="N2155" t="s">
        <v>4836</v>
      </c>
      <c r="Q2155" t="b">
        <v>0</v>
      </c>
      <c r="S2155" t="str">
        <f>"9780310253075"</f>
        <v>9780310253075</v>
      </c>
      <c r="T2155" t="str">
        <f>"9780310862413"</f>
        <v>9780310862413</v>
      </c>
      <c r="U2155" t="b">
        <v>0</v>
      </c>
      <c r="W2155" t="b">
        <v>0</v>
      </c>
    </row>
    <row r="2156" spans="1:23" x14ac:dyDescent="0.3">
      <c r="A2156">
        <v>2980529</v>
      </c>
      <c r="B2156">
        <v>100.02</v>
      </c>
      <c r="C2156" t="s">
        <v>4837</v>
      </c>
      <c r="D2156" t="s">
        <v>4838</v>
      </c>
      <c r="E2156" t="s">
        <v>23</v>
      </c>
      <c r="F2156" t="s">
        <v>44</v>
      </c>
      <c r="G2156">
        <v>2021</v>
      </c>
      <c r="H2156" t="s">
        <v>4839</v>
      </c>
      <c r="I2156" t="s">
        <v>4840</v>
      </c>
      <c r="J2156" t="s">
        <v>4841</v>
      </c>
      <c r="K2156" t="s">
        <v>25</v>
      </c>
      <c r="L2156" t="s">
        <v>26</v>
      </c>
      <c r="M2156" t="b">
        <v>1</v>
      </c>
      <c r="N2156" t="s">
        <v>1041</v>
      </c>
      <c r="O2156" t="str">
        <f>"270"</f>
        <v>270</v>
      </c>
      <c r="Q2156" t="b">
        <v>0</v>
      </c>
      <c r="S2156" t="str">
        <f>"9780310118367"</f>
        <v>9780310118367</v>
      </c>
      <c r="T2156" t="str">
        <f>"9780310118374"</f>
        <v>9780310118374</v>
      </c>
      <c r="U2156" t="b">
        <v>0</v>
      </c>
      <c r="W2156" t="b">
        <v>0</v>
      </c>
    </row>
    <row r="2157" spans="1:23" x14ac:dyDescent="0.3">
      <c r="A2157">
        <v>2980528</v>
      </c>
      <c r="B2157">
        <v>79.319999999999993</v>
      </c>
      <c r="C2157" t="s">
        <v>4842</v>
      </c>
      <c r="D2157" t="s">
        <v>4843</v>
      </c>
      <c r="E2157" t="s">
        <v>23</v>
      </c>
      <c r="F2157" t="s">
        <v>44</v>
      </c>
      <c r="G2157">
        <v>2019</v>
      </c>
      <c r="H2157" t="s">
        <v>4844</v>
      </c>
      <c r="K2157" t="s">
        <v>25</v>
      </c>
      <c r="L2157" t="s">
        <v>26</v>
      </c>
      <c r="M2157" t="b">
        <v>1</v>
      </c>
      <c r="N2157" t="s">
        <v>3781</v>
      </c>
      <c r="Q2157" t="b">
        <v>0</v>
      </c>
      <c r="S2157" t="str">
        <f>"9780310356974"</f>
        <v>9780310356974</v>
      </c>
      <c r="T2157" t="str">
        <f>"9780310356981"</f>
        <v>9780310356981</v>
      </c>
      <c r="U2157" t="b">
        <v>0</v>
      </c>
      <c r="W2157" t="b">
        <v>0</v>
      </c>
    </row>
    <row r="2158" spans="1:23" x14ac:dyDescent="0.3">
      <c r="A2158">
        <v>2980527</v>
      </c>
      <c r="B2158">
        <v>65.52</v>
      </c>
      <c r="C2158" t="s">
        <v>4845</v>
      </c>
      <c r="D2158" t="s">
        <v>4846</v>
      </c>
      <c r="E2158" t="s">
        <v>23</v>
      </c>
      <c r="F2158" t="s">
        <v>44</v>
      </c>
      <c r="G2158">
        <v>2020</v>
      </c>
      <c r="H2158" t="s">
        <v>70</v>
      </c>
      <c r="I2158" t="s">
        <v>4847</v>
      </c>
      <c r="J2158" t="s">
        <v>4848</v>
      </c>
      <c r="K2158" t="s">
        <v>25</v>
      </c>
      <c r="L2158" t="s">
        <v>26</v>
      </c>
      <c r="M2158" t="b">
        <v>1</v>
      </c>
      <c r="N2158" t="s">
        <v>4849</v>
      </c>
      <c r="O2158" t="str">
        <f>"eBook"</f>
        <v>eBook</v>
      </c>
      <c r="Q2158" t="b">
        <v>0</v>
      </c>
      <c r="S2158" t="str">
        <f>"9780310108634"</f>
        <v>9780310108634</v>
      </c>
      <c r="T2158" t="str">
        <f>"9780310108641"</f>
        <v>9780310108641</v>
      </c>
      <c r="U2158" t="b">
        <v>0</v>
      </c>
      <c r="W2158" t="b">
        <v>0</v>
      </c>
    </row>
    <row r="2159" spans="1:23" x14ac:dyDescent="0.3">
      <c r="A2159">
        <v>2980526</v>
      </c>
      <c r="B2159">
        <v>86.22</v>
      </c>
      <c r="C2159" t="s">
        <v>4850</v>
      </c>
      <c r="D2159" t="s">
        <v>4851</v>
      </c>
      <c r="E2159" t="s">
        <v>23</v>
      </c>
      <c r="F2159" t="s">
        <v>44</v>
      </c>
      <c r="G2159">
        <v>2020</v>
      </c>
      <c r="H2159" t="s">
        <v>99</v>
      </c>
      <c r="K2159" t="s">
        <v>25</v>
      </c>
      <c r="L2159" t="s">
        <v>26</v>
      </c>
      <c r="M2159" t="b">
        <v>1</v>
      </c>
      <c r="N2159" t="s">
        <v>4852</v>
      </c>
      <c r="Q2159" t="b">
        <v>0</v>
      </c>
      <c r="S2159" t="str">
        <f>"9780310349778"</f>
        <v>9780310349778</v>
      </c>
      <c r="T2159" t="str">
        <f>"9780310349792"</f>
        <v>9780310349792</v>
      </c>
      <c r="U2159" t="b">
        <v>0</v>
      </c>
      <c r="W2159" t="b">
        <v>0</v>
      </c>
    </row>
    <row r="2160" spans="1:23" x14ac:dyDescent="0.3">
      <c r="A2160">
        <v>2980525</v>
      </c>
      <c r="B2160">
        <v>88.8</v>
      </c>
      <c r="C2160" t="s">
        <v>4853</v>
      </c>
      <c r="D2160" t="s">
        <v>4854</v>
      </c>
      <c r="E2160" t="s">
        <v>23</v>
      </c>
      <c r="F2160" t="s">
        <v>44</v>
      </c>
      <c r="G2160">
        <v>2017</v>
      </c>
      <c r="H2160" t="s">
        <v>4029</v>
      </c>
      <c r="K2160" t="s">
        <v>25</v>
      </c>
      <c r="L2160" t="s">
        <v>30</v>
      </c>
      <c r="M2160" t="b">
        <v>1</v>
      </c>
      <c r="N2160" t="s">
        <v>408</v>
      </c>
      <c r="P2160" t="s">
        <v>4030</v>
      </c>
      <c r="Q2160" t="b">
        <v>0</v>
      </c>
      <c r="T2160" t="str">
        <f>"9780310752554"</f>
        <v>9780310752554</v>
      </c>
      <c r="U2160" t="b">
        <v>0</v>
      </c>
      <c r="W2160" t="b">
        <v>0</v>
      </c>
    </row>
    <row r="2161" spans="1:23" x14ac:dyDescent="0.3">
      <c r="A2161">
        <v>2980524</v>
      </c>
      <c r="B2161">
        <v>55.17</v>
      </c>
      <c r="C2161" t="s">
        <v>4855</v>
      </c>
      <c r="E2161" t="s">
        <v>23</v>
      </c>
      <c r="F2161" t="s">
        <v>44</v>
      </c>
      <c r="G2161">
        <v>2014</v>
      </c>
      <c r="H2161" t="s">
        <v>728</v>
      </c>
      <c r="K2161" t="s">
        <v>25</v>
      </c>
      <c r="L2161" t="s">
        <v>30</v>
      </c>
      <c r="M2161" t="b">
        <v>1</v>
      </c>
      <c r="N2161" t="s">
        <v>4128</v>
      </c>
      <c r="P2161" t="s">
        <v>4129</v>
      </c>
      <c r="Q2161" t="b">
        <v>1</v>
      </c>
      <c r="S2161" t="str">
        <f>"9780785247845"</f>
        <v>9780785247845</v>
      </c>
      <c r="T2161" t="str">
        <f>"9780310315520"</f>
        <v>9780310315520</v>
      </c>
      <c r="U2161" t="b">
        <v>0</v>
      </c>
      <c r="W2161" t="b">
        <v>0</v>
      </c>
    </row>
    <row r="2162" spans="1:23" x14ac:dyDescent="0.3">
      <c r="A2162">
        <v>2980523</v>
      </c>
      <c r="B2162">
        <v>51.72</v>
      </c>
      <c r="C2162" t="s">
        <v>4856</v>
      </c>
      <c r="E2162" t="s">
        <v>23</v>
      </c>
      <c r="F2162" t="s">
        <v>44</v>
      </c>
      <c r="G2162">
        <v>2010</v>
      </c>
      <c r="H2162" t="s">
        <v>89</v>
      </c>
      <c r="K2162" t="s">
        <v>25</v>
      </c>
      <c r="L2162" t="s">
        <v>30</v>
      </c>
      <c r="M2162" t="b">
        <v>1</v>
      </c>
      <c r="N2162" t="s">
        <v>4857</v>
      </c>
      <c r="Q2162" t="b">
        <v>0</v>
      </c>
      <c r="S2162" t="str">
        <f>"9780310235279"</f>
        <v>9780310235279</v>
      </c>
      <c r="T2162" t="str">
        <f>"9780310863786"</f>
        <v>9780310863786</v>
      </c>
      <c r="U2162" t="b">
        <v>0</v>
      </c>
      <c r="W2162" t="b">
        <v>0</v>
      </c>
    </row>
    <row r="2163" spans="1:23" x14ac:dyDescent="0.3">
      <c r="A2163">
        <v>2980522</v>
      </c>
      <c r="B2163">
        <v>44.82</v>
      </c>
      <c r="C2163" t="s">
        <v>4858</v>
      </c>
      <c r="E2163" t="s">
        <v>23</v>
      </c>
      <c r="F2163" t="s">
        <v>44</v>
      </c>
      <c r="G2163">
        <v>2015</v>
      </c>
      <c r="H2163" t="s">
        <v>728</v>
      </c>
      <c r="K2163" t="s">
        <v>25</v>
      </c>
      <c r="L2163" t="s">
        <v>26</v>
      </c>
      <c r="M2163" t="b">
        <v>1</v>
      </c>
      <c r="N2163" t="s">
        <v>3646</v>
      </c>
      <c r="Q2163" t="b">
        <v>1</v>
      </c>
      <c r="S2163" t="str">
        <f>"9780310338475"</f>
        <v>9780310338475</v>
      </c>
      <c r="T2163" t="str">
        <f>"9780310338567"</f>
        <v>9780310338567</v>
      </c>
      <c r="U2163" t="b">
        <v>0</v>
      </c>
      <c r="W2163" t="b">
        <v>0</v>
      </c>
    </row>
    <row r="2164" spans="1:23" x14ac:dyDescent="0.3">
      <c r="A2164">
        <v>2980521</v>
      </c>
      <c r="B2164">
        <v>34.47</v>
      </c>
      <c r="C2164" t="s">
        <v>4859</v>
      </c>
      <c r="D2164" t="s">
        <v>4860</v>
      </c>
      <c r="E2164" t="s">
        <v>23</v>
      </c>
      <c r="F2164" t="s">
        <v>44</v>
      </c>
      <c r="G2164">
        <v>2010</v>
      </c>
      <c r="H2164" t="s">
        <v>1302</v>
      </c>
      <c r="K2164" t="s">
        <v>25</v>
      </c>
      <c r="L2164" t="s">
        <v>30</v>
      </c>
      <c r="M2164" t="b">
        <v>1</v>
      </c>
      <c r="N2164" t="s">
        <v>4861</v>
      </c>
      <c r="Q2164" t="b">
        <v>0</v>
      </c>
      <c r="S2164" t="str">
        <f>"9780310259916"</f>
        <v>9780310259916</v>
      </c>
      <c r="T2164" t="str">
        <f>"9780310861805"</f>
        <v>9780310861805</v>
      </c>
      <c r="U2164" t="b">
        <v>0</v>
      </c>
      <c r="W2164" t="b">
        <v>0</v>
      </c>
    </row>
    <row r="2165" spans="1:23" x14ac:dyDescent="0.3">
      <c r="A2165">
        <v>2980520</v>
      </c>
      <c r="B2165">
        <v>3.52</v>
      </c>
      <c r="C2165" t="s">
        <v>4862</v>
      </c>
      <c r="D2165" t="s">
        <v>4863</v>
      </c>
      <c r="E2165" t="s">
        <v>23</v>
      </c>
      <c r="F2165" t="s">
        <v>44</v>
      </c>
      <c r="G2165">
        <v>2018</v>
      </c>
      <c r="H2165" t="s">
        <v>55</v>
      </c>
      <c r="I2165" t="s">
        <v>4864</v>
      </c>
      <c r="J2165" t="s">
        <v>895</v>
      </c>
      <c r="K2165" t="s">
        <v>25</v>
      </c>
      <c r="L2165" t="s">
        <v>26</v>
      </c>
      <c r="M2165" t="b">
        <v>1</v>
      </c>
      <c r="N2165" t="s">
        <v>4865</v>
      </c>
      <c r="O2165" t="str">
        <f>"220.071"</f>
        <v>220.071</v>
      </c>
      <c r="Q2165" t="b">
        <v>0</v>
      </c>
      <c r="T2165" t="str">
        <f>"9780310100935"</f>
        <v>9780310100935</v>
      </c>
      <c r="U2165" t="b">
        <v>0</v>
      </c>
      <c r="W2165" t="b">
        <v>0</v>
      </c>
    </row>
    <row r="2166" spans="1:23" x14ac:dyDescent="0.3">
      <c r="A2166">
        <v>2980519</v>
      </c>
      <c r="B2166">
        <v>62.07</v>
      </c>
      <c r="C2166" t="s">
        <v>4866</v>
      </c>
      <c r="D2166" t="s">
        <v>4867</v>
      </c>
      <c r="E2166" t="s">
        <v>23</v>
      </c>
      <c r="F2166" t="s">
        <v>44</v>
      </c>
      <c r="G2166">
        <v>2009</v>
      </c>
      <c r="H2166" t="s">
        <v>56</v>
      </c>
      <c r="K2166" t="s">
        <v>25</v>
      </c>
      <c r="L2166" t="s">
        <v>30</v>
      </c>
      <c r="M2166" t="b">
        <v>1</v>
      </c>
      <c r="N2166" t="s">
        <v>4868</v>
      </c>
      <c r="Q2166" t="b">
        <v>0</v>
      </c>
      <c r="S2166" t="str">
        <f>"9780310287414"</f>
        <v>9780310287414</v>
      </c>
      <c r="T2166" t="str">
        <f>"9780310829188"</f>
        <v>9780310829188</v>
      </c>
      <c r="U2166" t="b">
        <v>0</v>
      </c>
      <c r="W2166" t="b">
        <v>0</v>
      </c>
    </row>
    <row r="2167" spans="1:23" x14ac:dyDescent="0.3">
      <c r="A2167">
        <v>2980518</v>
      </c>
      <c r="B2167">
        <v>86.22</v>
      </c>
      <c r="C2167" t="s">
        <v>4869</v>
      </c>
      <c r="D2167" t="s">
        <v>4870</v>
      </c>
      <c r="E2167" t="s">
        <v>23</v>
      </c>
      <c r="F2167" t="s">
        <v>44</v>
      </c>
      <c r="G2167">
        <v>2018</v>
      </c>
      <c r="H2167" t="s">
        <v>62</v>
      </c>
      <c r="K2167" t="s">
        <v>25</v>
      </c>
      <c r="L2167" t="s">
        <v>26</v>
      </c>
      <c r="M2167" t="b">
        <v>1</v>
      </c>
      <c r="N2167" t="s">
        <v>4871</v>
      </c>
      <c r="Q2167" t="b">
        <v>0</v>
      </c>
      <c r="S2167" t="str">
        <f>"9780310355854"</f>
        <v>9780310355854</v>
      </c>
      <c r="T2167" t="str">
        <f>"9780310355861"</f>
        <v>9780310355861</v>
      </c>
      <c r="U2167" t="b">
        <v>0</v>
      </c>
      <c r="W2167" t="b">
        <v>0</v>
      </c>
    </row>
    <row r="2168" spans="1:23" x14ac:dyDescent="0.3">
      <c r="A2168">
        <v>2980517</v>
      </c>
      <c r="B2168">
        <v>51.72</v>
      </c>
      <c r="C2168" t="s">
        <v>4872</v>
      </c>
      <c r="E2168" t="s">
        <v>23</v>
      </c>
      <c r="F2168" t="s">
        <v>44</v>
      </c>
      <c r="G2168">
        <v>2017</v>
      </c>
      <c r="H2168" t="s">
        <v>132</v>
      </c>
      <c r="K2168" t="s">
        <v>25</v>
      </c>
      <c r="L2168" t="s">
        <v>26</v>
      </c>
      <c r="M2168" t="b">
        <v>1</v>
      </c>
      <c r="N2168" t="s">
        <v>2959</v>
      </c>
      <c r="P2168" t="s">
        <v>2241</v>
      </c>
      <c r="Q2168" t="b">
        <v>0</v>
      </c>
      <c r="S2168" t="str">
        <f>"9780310087564"</f>
        <v>9780310087564</v>
      </c>
      <c r="T2168" t="str">
        <f>"9780310087571"</f>
        <v>9780310087571</v>
      </c>
      <c r="U2168" t="b">
        <v>0</v>
      </c>
      <c r="W2168" t="b">
        <v>0</v>
      </c>
    </row>
    <row r="2169" spans="1:23" x14ac:dyDescent="0.3">
      <c r="A2169">
        <v>2980516</v>
      </c>
      <c r="B2169">
        <v>113.68</v>
      </c>
      <c r="C2169" t="s">
        <v>4873</v>
      </c>
      <c r="D2169" t="s">
        <v>4874</v>
      </c>
      <c r="E2169" t="s">
        <v>23</v>
      </c>
      <c r="F2169" t="s">
        <v>44</v>
      </c>
      <c r="G2169">
        <v>2017</v>
      </c>
      <c r="H2169" t="s">
        <v>772</v>
      </c>
      <c r="K2169" t="s">
        <v>25</v>
      </c>
      <c r="L2169" t="s">
        <v>30</v>
      </c>
      <c r="M2169" t="b">
        <v>1</v>
      </c>
      <c r="N2169" t="s">
        <v>776</v>
      </c>
      <c r="P2169" t="s">
        <v>3888</v>
      </c>
      <c r="Q2169" t="b">
        <v>1</v>
      </c>
      <c r="T2169" t="str">
        <f>"9780310351160"</f>
        <v>9780310351160</v>
      </c>
      <c r="U2169" t="b">
        <v>0</v>
      </c>
      <c r="W2169" t="b">
        <v>0</v>
      </c>
    </row>
    <row r="2170" spans="1:23" x14ac:dyDescent="0.3">
      <c r="A2170">
        <v>2980515</v>
      </c>
      <c r="B2170">
        <v>27.57</v>
      </c>
      <c r="C2170" t="s">
        <v>4875</v>
      </c>
      <c r="D2170" t="s">
        <v>4876</v>
      </c>
      <c r="E2170" t="s">
        <v>23</v>
      </c>
      <c r="F2170" t="s">
        <v>44</v>
      </c>
      <c r="G2170">
        <v>2014</v>
      </c>
      <c r="H2170" t="s">
        <v>58</v>
      </c>
      <c r="K2170" t="s">
        <v>25</v>
      </c>
      <c r="L2170" t="s">
        <v>30</v>
      </c>
      <c r="M2170" t="b">
        <v>1</v>
      </c>
      <c r="N2170" t="s">
        <v>4877</v>
      </c>
      <c r="P2170" t="s">
        <v>3507</v>
      </c>
      <c r="Q2170" t="b">
        <v>0</v>
      </c>
      <c r="S2170" t="str">
        <f>"9780310433378"</f>
        <v>9780310433378</v>
      </c>
      <c r="T2170" t="str">
        <f>"9780310433507"</f>
        <v>9780310433507</v>
      </c>
      <c r="U2170" t="b">
        <v>0</v>
      </c>
      <c r="W2170" t="b">
        <v>0</v>
      </c>
    </row>
    <row r="2171" spans="1:23" x14ac:dyDescent="0.3">
      <c r="A2171">
        <v>2980514</v>
      </c>
      <c r="B2171">
        <v>34.47</v>
      </c>
      <c r="C2171" t="s">
        <v>4878</v>
      </c>
      <c r="D2171" t="s">
        <v>4879</v>
      </c>
      <c r="E2171" t="s">
        <v>23</v>
      </c>
      <c r="F2171" t="s">
        <v>44</v>
      </c>
      <c r="G2171">
        <v>2012</v>
      </c>
      <c r="H2171" t="s">
        <v>3400</v>
      </c>
      <c r="K2171" t="s">
        <v>25</v>
      </c>
      <c r="L2171" t="s">
        <v>30</v>
      </c>
      <c r="M2171" t="b">
        <v>1</v>
      </c>
      <c r="N2171" t="s">
        <v>4880</v>
      </c>
      <c r="Q2171" t="b">
        <v>0</v>
      </c>
      <c r="S2171" t="str">
        <f>"9780310728108"</f>
        <v>9780310728108</v>
      </c>
      <c r="T2171" t="str">
        <f>"9780310728115"</f>
        <v>9780310728115</v>
      </c>
      <c r="U2171" t="b">
        <v>0</v>
      </c>
      <c r="W2171" t="b">
        <v>0</v>
      </c>
    </row>
    <row r="2172" spans="1:23" x14ac:dyDescent="0.3">
      <c r="A2172">
        <v>2980513</v>
      </c>
      <c r="B2172">
        <v>34.47</v>
      </c>
      <c r="C2172" t="s">
        <v>4881</v>
      </c>
      <c r="E2172" t="s">
        <v>23</v>
      </c>
      <c r="F2172" t="s">
        <v>44</v>
      </c>
      <c r="G2172">
        <v>2020</v>
      </c>
      <c r="H2172" t="s">
        <v>772</v>
      </c>
      <c r="K2172" t="s">
        <v>25</v>
      </c>
      <c r="L2172" t="s">
        <v>26</v>
      </c>
      <c r="M2172" t="b">
        <v>1</v>
      </c>
      <c r="N2172" t="s">
        <v>773</v>
      </c>
      <c r="P2172" t="s">
        <v>4663</v>
      </c>
      <c r="Q2172" t="b">
        <v>1</v>
      </c>
      <c r="S2172" t="str">
        <f>"9780310356738"</f>
        <v>9780310356738</v>
      </c>
      <c r="T2172" t="str">
        <f>"9780310356745"</f>
        <v>9780310356745</v>
      </c>
      <c r="U2172" t="b">
        <v>0</v>
      </c>
      <c r="W2172" t="b">
        <v>0</v>
      </c>
    </row>
    <row r="2173" spans="1:23" x14ac:dyDescent="0.3">
      <c r="A2173">
        <v>2980512</v>
      </c>
      <c r="B2173">
        <v>49.71</v>
      </c>
      <c r="C2173" t="s">
        <v>4882</v>
      </c>
      <c r="E2173" t="s">
        <v>23</v>
      </c>
      <c r="F2173" t="s">
        <v>44</v>
      </c>
      <c r="G2173">
        <v>2009</v>
      </c>
      <c r="H2173" t="s">
        <v>531</v>
      </c>
      <c r="K2173" t="s">
        <v>25</v>
      </c>
      <c r="L2173" t="s">
        <v>30</v>
      </c>
      <c r="M2173" t="b">
        <v>1</v>
      </c>
      <c r="N2173" t="s">
        <v>4883</v>
      </c>
      <c r="Q2173" t="b">
        <v>0</v>
      </c>
      <c r="T2173" t="str">
        <f>"9780310863878"</f>
        <v>9780310863878</v>
      </c>
      <c r="U2173" t="b">
        <v>0</v>
      </c>
      <c r="W2173" t="b">
        <v>0</v>
      </c>
    </row>
    <row r="2174" spans="1:23" x14ac:dyDescent="0.3">
      <c r="A2174">
        <v>2980511</v>
      </c>
      <c r="B2174">
        <v>58.62</v>
      </c>
      <c r="C2174" t="s">
        <v>4884</v>
      </c>
      <c r="D2174" t="s">
        <v>4885</v>
      </c>
      <c r="E2174" t="s">
        <v>23</v>
      </c>
      <c r="F2174" t="s">
        <v>44</v>
      </c>
      <c r="G2174">
        <v>2017</v>
      </c>
      <c r="H2174" t="s">
        <v>2333</v>
      </c>
      <c r="K2174" t="s">
        <v>25</v>
      </c>
      <c r="L2174" t="s">
        <v>26</v>
      </c>
      <c r="M2174" t="b">
        <v>1</v>
      </c>
      <c r="N2174" t="s">
        <v>3593</v>
      </c>
      <c r="Q2174" t="b">
        <v>0</v>
      </c>
      <c r="S2174" t="str">
        <f>"9780310348887"</f>
        <v>9780310348887</v>
      </c>
      <c r="T2174" t="str">
        <f>"9780310349532"</f>
        <v>9780310349532</v>
      </c>
      <c r="U2174" t="b">
        <v>0</v>
      </c>
      <c r="W2174" t="b">
        <v>0</v>
      </c>
    </row>
    <row r="2175" spans="1:23" x14ac:dyDescent="0.3">
      <c r="A2175">
        <v>2980510</v>
      </c>
      <c r="B2175">
        <v>65.52</v>
      </c>
      <c r="C2175" t="s">
        <v>4886</v>
      </c>
      <c r="D2175" t="s">
        <v>4887</v>
      </c>
      <c r="E2175" t="s">
        <v>23</v>
      </c>
      <c r="F2175" t="s">
        <v>44</v>
      </c>
      <c r="G2175">
        <v>2017</v>
      </c>
      <c r="H2175" t="s">
        <v>738</v>
      </c>
      <c r="K2175" t="s">
        <v>25</v>
      </c>
      <c r="L2175" t="s">
        <v>26</v>
      </c>
      <c r="M2175" t="b">
        <v>1</v>
      </c>
      <c r="N2175" t="s">
        <v>4888</v>
      </c>
      <c r="Q2175" t="b">
        <v>0</v>
      </c>
      <c r="S2175" t="str">
        <f>"9780310351474"</f>
        <v>9780310351474</v>
      </c>
      <c r="T2175" t="str">
        <f>"9780310351481"</f>
        <v>9780310351481</v>
      </c>
      <c r="U2175" t="b">
        <v>0</v>
      </c>
      <c r="W2175" t="b">
        <v>0</v>
      </c>
    </row>
    <row r="2176" spans="1:23" x14ac:dyDescent="0.3">
      <c r="A2176">
        <v>2980509</v>
      </c>
      <c r="B2176">
        <v>56.82</v>
      </c>
      <c r="C2176" t="s">
        <v>4889</v>
      </c>
      <c r="D2176" t="s">
        <v>4890</v>
      </c>
      <c r="E2176" t="s">
        <v>23</v>
      </c>
      <c r="F2176" t="s">
        <v>44</v>
      </c>
      <c r="G2176">
        <v>2017</v>
      </c>
      <c r="H2176" t="s">
        <v>2333</v>
      </c>
      <c r="K2176" t="s">
        <v>25</v>
      </c>
      <c r="L2176" t="s">
        <v>26</v>
      </c>
      <c r="M2176" t="b">
        <v>1</v>
      </c>
      <c r="N2176" t="s">
        <v>4811</v>
      </c>
      <c r="Q2176" t="b">
        <v>0</v>
      </c>
      <c r="T2176" t="str">
        <f>"9780310347958"</f>
        <v>9780310347958</v>
      </c>
      <c r="U2176" t="b">
        <v>0</v>
      </c>
      <c r="W2176" t="b">
        <v>0</v>
      </c>
    </row>
    <row r="2177" spans="1:23" x14ac:dyDescent="0.3">
      <c r="A2177">
        <v>2980508</v>
      </c>
      <c r="B2177">
        <v>53.27</v>
      </c>
      <c r="C2177" t="s">
        <v>4891</v>
      </c>
      <c r="D2177" t="s">
        <v>4892</v>
      </c>
      <c r="E2177" t="s">
        <v>23</v>
      </c>
      <c r="F2177" t="s">
        <v>44</v>
      </c>
      <c r="G2177">
        <v>2011</v>
      </c>
      <c r="H2177" t="s">
        <v>67</v>
      </c>
      <c r="K2177" t="s">
        <v>25</v>
      </c>
      <c r="L2177" t="s">
        <v>30</v>
      </c>
      <c r="M2177" t="b">
        <v>1</v>
      </c>
      <c r="N2177" t="s">
        <v>3353</v>
      </c>
      <c r="P2177" t="s">
        <v>3354</v>
      </c>
      <c r="Q2177" t="b">
        <v>1</v>
      </c>
      <c r="T2177" t="str">
        <f>"9780310334408"</f>
        <v>9780310334408</v>
      </c>
      <c r="U2177" t="b">
        <v>0</v>
      </c>
      <c r="W2177" t="b">
        <v>0</v>
      </c>
    </row>
    <row r="2178" spans="1:23" x14ac:dyDescent="0.3">
      <c r="A2178">
        <v>2980507</v>
      </c>
      <c r="B2178">
        <v>56.82</v>
      </c>
      <c r="C2178" t="s">
        <v>4893</v>
      </c>
      <c r="D2178" t="s">
        <v>4894</v>
      </c>
      <c r="E2178" t="s">
        <v>23</v>
      </c>
      <c r="F2178" t="s">
        <v>44</v>
      </c>
      <c r="G2178">
        <v>2011</v>
      </c>
      <c r="H2178" t="s">
        <v>912</v>
      </c>
      <c r="K2178" t="s">
        <v>25</v>
      </c>
      <c r="L2178" t="s">
        <v>30</v>
      </c>
      <c r="M2178" t="b">
        <v>1</v>
      </c>
      <c r="N2178" t="s">
        <v>4895</v>
      </c>
      <c r="Q2178" t="b">
        <v>0</v>
      </c>
      <c r="T2178" t="str">
        <f>"9780310325475"</f>
        <v>9780310325475</v>
      </c>
      <c r="U2178" t="b">
        <v>0</v>
      </c>
      <c r="W2178" t="b">
        <v>0</v>
      </c>
    </row>
    <row r="2179" spans="1:23" x14ac:dyDescent="0.3">
      <c r="A2179">
        <v>2980506</v>
      </c>
      <c r="B2179">
        <v>79.319999999999993</v>
      </c>
      <c r="C2179" t="s">
        <v>4896</v>
      </c>
      <c r="D2179" t="s">
        <v>4897</v>
      </c>
      <c r="E2179" t="s">
        <v>23</v>
      </c>
      <c r="F2179" t="s">
        <v>44</v>
      </c>
      <c r="G2179">
        <v>2018</v>
      </c>
      <c r="H2179" t="s">
        <v>99</v>
      </c>
      <c r="K2179" t="s">
        <v>25</v>
      </c>
      <c r="L2179" t="s">
        <v>26</v>
      </c>
      <c r="M2179" t="b">
        <v>1</v>
      </c>
      <c r="N2179" t="s">
        <v>4898</v>
      </c>
      <c r="Q2179" t="b">
        <v>0</v>
      </c>
      <c r="S2179" t="str">
        <f>"9780310349877"</f>
        <v>9780310349877</v>
      </c>
      <c r="T2179" t="str">
        <f>"9780310349884"</f>
        <v>9780310349884</v>
      </c>
      <c r="U2179" t="b">
        <v>0</v>
      </c>
      <c r="W2179" t="b">
        <v>0</v>
      </c>
    </row>
    <row r="2180" spans="1:23" x14ac:dyDescent="0.3">
      <c r="A2180">
        <v>2980505</v>
      </c>
      <c r="B2180">
        <v>89.67</v>
      </c>
      <c r="C2180" t="s">
        <v>4899</v>
      </c>
      <c r="D2180" t="s">
        <v>4900</v>
      </c>
      <c r="E2180" t="s">
        <v>23</v>
      </c>
      <c r="F2180" t="s">
        <v>44</v>
      </c>
      <c r="G2180">
        <v>2020</v>
      </c>
      <c r="H2180" t="s">
        <v>736</v>
      </c>
      <c r="K2180" t="s">
        <v>25</v>
      </c>
      <c r="L2180" t="s">
        <v>26</v>
      </c>
      <c r="M2180" t="b">
        <v>1</v>
      </c>
      <c r="N2180" t="s">
        <v>988</v>
      </c>
      <c r="Q2180" t="b">
        <v>0</v>
      </c>
      <c r="S2180" t="str">
        <f>"9780310359067"</f>
        <v>9780310359067</v>
      </c>
      <c r="T2180" t="str">
        <f>"9780310359074"</f>
        <v>9780310359074</v>
      </c>
      <c r="U2180" t="b">
        <v>0</v>
      </c>
      <c r="W2180" t="b">
        <v>0</v>
      </c>
    </row>
    <row r="2181" spans="1:23" x14ac:dyDescent="0.3">
      <c r="A2181">
        <v>2980504</v>
      </c>
      <c r="B2181">
        <v>35.5</v>
      </c>
      <c r="C2181" t="s">
        <v>4901</v>
      </c>
      <c r="E2181" t="s">
        <v>23</v>
      </c>
      <c r="F2181" t="s">
        <v>44</v>
      </c>
      <c r="G2181">
        <v>2012</v>
      </c>
      <c r="H2181" t="s">
        <v>3400</v>
      </c>
      <c r="K2181" t="s">
        <v>25</v>
      </c>
      <c r="L2181" t="s">
        <v>30</v>
      </c>
      <c r="M2181" t="b">
        <v>1</v>
      </c>
      <c r="N2181" t="s">
        <v>4880</v>
      </c>
      <c r="Q2181" t="b">
        <v>0</v>
      </c>
      <c r="S2181" t="str">
        <f>"9780310732938"</f>
        <v>9780310732938</v>
      </c>
      <c r="T2181" t="str">
        <f>"9780310732983"</f>
        <v>9780310732983</v>
      </c>
      <c r="U2181" t="b">
        <v>0</v>
      </c>
      <c r="W2181" t="b">
        <v>0</v>
      </c>
    </row>
    <row r="2182" spans="1:23" x14ac:dyDescent="0.3">
      <c r="A2182">
        <v>2980503</v>
      </c>
      <c r="B2182">
        <v>14.18</v>
      </c>
      <c r="C2182" t="s">
        <v>4902</v>
      </c>
      <c r="D2182" t="s">
        <v>4903</v>
      </c>
      <c r="E2182" t="s">
        <v>23</v>
      </c>
      <c r="F2182" t="s">
        <v>44</v>
      </c>
      <c r="G2182">
        <v>2015</v>
      </c>
      <c r="H2182" t="s">
        <v>1212</v>
      </c>
      <c r="K2182" t="s">
        <v>25</v>
      </c>
      <c r="L2182" t="s">
        <v>26</v>
      </c>
      <c r="M2182" t="b">
        <v>1</v>
      </c>
      <c r="N2182" t="s">
        <v>3580</v>
      </c>
      <c r="P2182" t="s">
        <v>2785</v>
      </c>
      <c r="Q2182" t="b">
        <v>1</v>
      </c>
      <c r="T2182" t="str">
        <f>"9780310396048"</f>
        <v>9780310396048</v>
      </c>
      <c r="U2182" t="b">
        <v>0</v>
      </c>
      <c r="W2182" t="b">
        <v>0</v>
      </c>
    </row>
    <row r="2183" spans="1:23" x14ac:dyDescent="0.3">
      <c r="A2183">
        <v>2980502</v>
      </c>
      <c r="B2183">
        <v>55.17</v>
      </c>
      <c r="C2183" t="s">
        <v>4904</v>
      </c>
      <c r="E2183" t="s">
        <v>23</v>
      </c>
      <c r="F2183" t="s">
        <v>44</v>
      </c>
      <c r="G2183">
        <v>2014</v>
      </c>
      <c r="H2183" t="s">
        <v>66</v>
      </c>
      <c r="K2183" t="s">
        <v>25</v>
      </c>
      <c r="L2183" t="s">
        <v>30</v>
      </c>
      <c r="M2183" t="b">
        <v>1</v>
      </c>
      <c r="N2183" t="s">
        <v>2865</v>
      </c>
      <c r="P2183" t="s">
        <v>4182</v>
      </c>
      <c r="Q2183" t="b">
        <v>1</v>
      </c>
      <c r="S2183" t="str">
        <f>"9780310330165"</f>
        <v>9780310330165</v>
      </c>
      <c r="T2183" t="str">
        <f>"9780310410454"</f>
        <v>9780310410454</v>
      </c>
      <c r="U2183" t="b">
        <v>0</v>
      </c>
      <c r="W2183" t="b">
        <v>0</v>
      </c>
    </row>
    <row r="2184" spans="1:23" x14ac:dyDescent="0.3">
      <c r="A2184">
        <v>2980501</v>
      </c>
      <c r="B2184">
        <v>55.17</v>
      </c>
      <c r="C2184" t="s">
        <v>4905</v>
      </c>
      <c r="D2184" t="s">
        <v>4906</v>
      </c>
      <c r="E2184" t="s">
        <v>23</v>
      </c>
      <c r="F2184" t="s">
        <v>44</v>
      </c>
      <c r="G2184">
        <v>2012</v>
      </c>
      <c r="H2184" t="s">
        <v>1237</v>
      </c>
      <c r="K2184" t="s">
        <v>25</v>
      </c>
      <c r="L2184" t="s">
        <v>30</v>
      </c>
      <c r="M2184" t="b">
        <v>1</v>
      </c>
      <c r="N2184" t="s">
        <v>3429</v>
      </c>
      <c r="Q2184" t="b">
        <v>0</v>
      </c>
      <c r="S2184" t="str">
        <f>"9780310335719"</f>
        <v>9780310335719</v>
      </c>
      <c r="T2184" t="str">
        <f>"9780310335740"</f>
        <v>9780310335740</v>
      </c>
      <c r="U2184" t="b">
        <v>0</v>
      </c>
      <c r="W2184" t="b">
        <v>0</v>
      </c>
    </row>
    <row r="2185" spans="1:23" x14ac:dyDescent="0.3">
      <c r="A2185">
        <v>2980500</v>
      </c>
      <c r="B2185">
        <v>55.17</v>
      </c>
      <c r="C2185" t="s">
        <v>4907</v>
      </c>
      <c r="E2185" t="s">
        <v>23</v>
      </c>
      <c r="F2185" t="s">
        <v>44</v>
      </c>
      <c r="G2185">
        <v>2017</v>
      </c>
      <c r="H2185" t="s">
        <v>728</v>
      </c>
      <c r="K2185" t="s">
        <v>25</v>
      </c>
      <c r="L2185" t="s">
        <v>26</v>
      </c>
      <c r="M2185" t="b">
        <v>1</v>
      </c>
      <c r="N2185" t="s">
        <v>3973</v>
      </c>
      <c r="P2185" t="s">
        <v>3974</v>
      </c>
      <c r="Q2185" t="b">
        <v>1</v>
      </c>
      <c r="S2185" t="str">
        <f>"9780310345428"</f>
        <v>9780310345428</v>
      </c>
      <c r="T2185" t="str">
        <f>"9780718078218"</f>
        <v>9780718078218</v>
      </c>
      <c r="U2185" t="b">
        <v>0</v>
      </c>
      <c r="W2185" t="b">
        <v>0</v>
      </c>
    </row>
    <row r="2186" spans="1:23" x14ac:dyDescent="0.3">
      <c r="A2186">
        <v>2980499</v>
      </c>
      <c r="B2186">
        <v>14.18</v>
      </c>
      <c r="C2186" t="s">
        <v>4908</v>
      </c>
      <c r="E2186" t="s">
        <v>23</v>
      </c>
      <c r="F2186" t="s">
        <v>44</v>
      </c>
      <c r="G2186">
        <v>2014</v>
      </c>
      <c r="H2186" t="s">
        <v>1212</v>
      </c>
      <c r="K2186" t="s">
        <v>25</v>
      </c>
      <c r="L2186" t="s">
        <v>30</v>
      </c>
      <c r="M2186" t="b">
        <v>1</v>
      </c>
      <c r="N2186" t="s">
        <v>958</v>
      </c>
      <c r="P2186" t="s">
        <v>2785</v>
      </c>
      <c r="Q2186" t="b">
        <v>1</v>
      </c>
      <c r="T2186" t="str">
        <f>"9780310339205"</f>
        <v>9780310339205</v>
      </c>
      <c r="U2186" t="b">
        <v>0</v>
      </c>
      <c r="W2186" t="b">
        <v>0</v>
      </c>
    </row>
    <row r="2187" spans="1:23" x14ac:dyDescent="0.3">
      <c r="A2187">
        <v>2980498</v>
      </c>
      <c r="B2187">
        <v>44.82</v>
      </c>
      <c r="C2187" t="s">
        <v>4909</v>
      </c>
      <c r="E2187" t="s">
        <v>23</v>
      </c>
      <c r="F2187" t="s">
        <v>44</v>
      </c>
      <c r="G2187">
        <v>2016</v>
      </c>
      <c r="H2187" t="s">
        <v>4138</v>
      </c>
      <c r="K2187" t="s">
        <v>25</v>
      </c>
      <c r="L2187" t="s">
        <v>26</v>
      </c>
      <c r="M2187" t="b">
        <v>1</v>
      </c>
      <c r="N2187" t="s">
        <v>4128</v>
      </c>
      <c r="P2187" t="s">
        <v>4129</v>
      </c>
      <c r="Q2187" t="b">
        <v>1</v>
      </c>
      <c r="S2187" t="str">
        <f>"9780785233220"</f>
        <v>9780785233220</v>
      </c>
      <c r="T2187" t="str">
        <f>"9780310344810"</f>
        <v>9780310344810</v>
      </c>
      <c r="U2187" t="b">
        <v>0</v>
      </c>
      <c r="W2187" t="b">
        <v>0</v>
      </c>
    </row>
    <row r="2188" spans="1:23" x14ac:dyDescent="0.3">
      <c r="A2188">
        <v>2980497</v>
      </c>
      <c r="B2188">
        <v>55.17</v>
      </c>
      <c r="C2188" t="s">
        <v>4910</v>
      </c>
      <c r="E2188" t="s">
        <v>23</v>
      </c>
      <c r="F2188" t="s">
        <v>44</v>
      </c>
      <c r="G2188">
        <v>2015</v>
      </c>
      <c r="H2188" t="s">
        <v>2535</v>
      </c>
      <c r="K2188" t="s">
        <v>25</v>
      </c>
      <c r="L2188" t="s">
        <v>30</v>
      </c>
      <c r="M2188" t="b">
        <v>1</v>
      </c>
      <c r="N2188" t="s">
        <v>4527</v>
      </c>
      <c r="P2188" t="s">
        <v>4528</v>
      </c>
      <c r="Q2188" t="b">
        <v>1</v>
      </c>
      <c r="S2188" t="str">
        <f>"9780310291077"</f>
        <v>9780310291077</v>
      </c>
      <c r="T2188" t="str">
        <f>"9780310413165"</f>
        <v>9780310413165</v>
      </c>
      <c r="U2188" t="b">
        <v>0</v>
      </c>
      <c r="W2188" t="b">
        <v>0</v>
      </c>
    </row>
    <row r="2189" spans="1:23" x14ac:dyDescent="0.3">
      <c r="A2189">
        <v>2980496</v>
      </c>
      <c r="B2189">
        <v>79.319999999999993</v>
      </c>
      <c r="C2189" t="s">
        <v>4911</v>
      </c>
      <c r="D2189" t="s">
        <v>4912</v>
      </c>
      <c r="E2189" t="s">
        <v>23</v>
      </c>
      <c r="F2189" t="s">
        <v>44</v>
      </c>
      <c r="G2189">
        <v>2018</v>
      </c>
      <c r="H2189" t="s">
        <v>58</v>
      </c>
      <c r="K2189" t="s">
        <v>25</v>
      </c>
      <c r="L2189" t="s">
        <v>26</v>
      </c>
      <c r="M2189" t="b">
        <v>1</v>
      </c>
      <c r="N2189" t="s">
        <v>752</v>
      </c>
      <c r="Q2189" t="b">
        <v>0</v>
      </c>
      <c r="S2189" t="str">
        <f>"9780310342953"</f>
        <v>9780310342953</v>
      </c>
      <c r="T2189" t="str">
        <f>"9780310342960"</f>
        <v>9780310342960</v>
      </c>
      <c r="U2189" t="b">
        <v>0</v>
      </c>
      <c r="W2189" t="b">
        <v>0</v>
      </c>
    </row>
    <row r="2190" spans="1:23" x14ac:dyDescent="0.3">
      <c r="A2190">
        <v>2980495</v>
      </c>
      <c r="B2190">
        <v>55.17</v>
      </c>
      <c r="C2190" t="s">
        <v>4913</v>
      </c>
      <c r="D2190" t="s">
        <v>4914</v>
      </c>
      <c r="E2190" t="s">
        <v>23</v>
      </c>
      <c r="F2190" t="s">
        <v>44</v>
      </c>
      <c r="G2190">
        <v>2015</v>
      </c>
      <c r="H2190" t="s">
        <v>912</v>
      </c>
      <c r="K2190" t="s">
        <v>25</v>
      </c>
      <c r="L2190" t="s">
        <v>26</v>
      </c>
      <c r="M2190" t="b">
        <v>1</v>
      </c>
      <c r="N2190" t="s">
        <v>901</v>
      </c>
      <c r="Q2190" t="b">
        <v>0</v>
      </c>
      <c r="S2190" t="str">
        <f>"9780310335580"</f>
        <v>9780310335580</v>
      </c>
      <c r="T2190" t="str">
        <f>"9780310335603"</f>
        <v>9780310335603</v>
      </c>
      <c r="U2190" t="b">
        <v>0</v>
      </c>
      <c r="W2190" t="b">
        <v>0</v>
      </c>
    </row>
    <row r="2191" spans="1:23" x14ac:dyDescent="0.3">
      <c r="A2191">
        <v>2980494</v>
      </c>
      <c r="B2191">
        <v>145.66</v>
      </c>
      <c r="C2191" t="s">
        <v>4915</v>
      </c>
      <c r="D2191" t="s">
        <v>4916</v>
      </c>
      <c r="E2191" t="s">
        <v>23</v>
      </c>
      <c r="F2191" t="s">
        <v>44</v>
      </c>
      <c r="G2191">
        <v>2014</v>
      </c>
      <c r="H2191" t="s">
        <v>58</v>
      </c>
      <c r="K2191" t="s">
        <v>25</v>
      </c>
      <c r="L2191" t="s">
        <v>30</v>
      </c>
      <c r="M2191" t="b">
        <v>1</v>
      </c>
      <c r="N2191" t="s">
        <v>44</v>
      </c>
      <c r="P2191" t="s">
        <v>3507</v>
      </c>
      <c r="Q2191" t="b">
        <v>0</v>
      </c>
      <c r="T2191" t="str">
        <f>"9780310436676"</f>
        <v>9780310436676</v>
      </c>
      <c r="U2191" t="b">
        <v>0</v>
      </c>
      <c r="W2191" t="b">
        <v>0</v>
      </c>
    </row>
    <row r="2192" spans="1:23" x14ac:dyDescent="0.3">
      <c r="A2192">
        <v>2980493</v>
      </c>
      <c r="B2192">
        <v>55.17</v>
      </c>
      <c r="C2192" t="s">
        <v>4917</v>
      </c>
      <c r="D2192" t="s">
        <v>4918</v>
      </c>
      <c r="E2192" t="s">
        <v>23</v>
      </c>
      <c r="F2192" t="s">
        <v>44</v>
      </c>
      <c r="G2192">
        <v>2015</v>
      </c>
      <c r="H2192" t="s">
        <v>58</v>
      </c>
      <c r="K2192" t="s">
        <v>25</v>
      </c>
      <c r="L2192" t="s">
        <v>26</v>
      </c>
      <c r="M2192" t="b">
        <v>1</v>
      </c>
      <c r="N2192" t="s">
        <v>4919</v>
      </c>
      <c r="Q2192" t="b">
        <v>0</v>
      </c>
      <c r="S2192" t="str">
        <f>"9780310342489"</f>
        <v>9780310342489</v>
      </c>
      <c r="T2192" t="str">
        <f>"9780310342496"</f>
        <v>9780310342496</v>
      </c>
      <c r="U2192" t="b">
        <v>0</v>
      </c>
      <c r="W2192" t="b">
        <v>0</v>
      </c>
    </row>
    <row r="2193" spans="1:23" x14ac:dyDescent="0.3">
      <c r="A2193">
        <v>2980492</v>
      </c>
      <c r="B2193">
        <v>51.72</v>
      </c>
      <c r="C2193" t="s">
        <v>4920</v>
      </c>
      <c r="D2193" t="s">
        <v>4921</v>
      </c>
      <c r="E2193" t="s">
        <v>23</v>
      </c>
      <c r="F2193" t="s">
        <v>44</v>
      </c>
      <c r="G2193">
        <v>2010</v>
      </c>
      <c r="H2193" t="s">
        <v>4922</v>
      </c>
      <c r="K2193" t="s">
        <v>25</v>
      </c>
      <c r="L2193" t="s">
        <v>30</v>
      </c>
      <c r="M2193" t="b">
        <v>1</v>
      </c>
      <c r="N2193" t="s">
        <v>4923</v>
      </c>
      <c r="Q2193" t="b">
        <v>0</v>
      </c>
      <c r="S2193" t="str">
        <f>"9780310249610"</f>
        <v>9780310249610</v>
      </c>
      <c r="T2193" t="str">
        <f>"9780310862628"</f>
        <v>9780310862628</v>
      </c>
      <c r="U2193" t="b">
        <v>0</v>
      </c>
      <c r="W2193" t="b">
        <v>0</v>
      </c>
    </row>
    <row r="2194" spans="1:23" x14ac:dyDescent="0.3">
      <c r="A2194">
        <v>2980491</v>
      </c>
      <c r="B2194">
        <v>56.82</v>
      </c>
      <c r="C2194" t="s">
        <v>4924</v>
      </c>
      <c r="D2194" t="s">
        <v>4925</v>
      </c>
      <c r="E2194" t="s">
        <v>23</v>
      </c>
      <c r="F2194" t="s">
        <v>44</v>
      </c>
      <c r="G2194">
        <v>2010</v>
      </c>
      <c r="H2194" t="s">
        <v>132</v>
      </c>
      <c r="K2194" t="s">
        <v>25</v>
      </c>
      <c r="L2194" t="s">
        <v>30</v>
      </c>
      <c r="M2194" t="b">
        <v>1</v>
      </c>
      <c r="N2194" t="s">
        <v>4926</v>
      </c>
      <c r="Q2194" t="b">
        <v>0</v>
      </c>
      <c r="T2194" t="str">
        <f>"9780310871965"</f>
        <v>9780310871965</v>
      </c>
      <c r="U2194" t="b">
        <v>0</v>
      </c>
      <c r="W2194" t="b">
        <v>0</v>
      </c>
    </row>
    <row r="2195" spans="1:23" x14ac:dyDescent="0.3">
      <c r="A2195">
        <v>2980490</v>
      </c>
      <c r="B2195">
        <v>63.93</v>
      </c>
      <c r="C2195" t="s">
        <v>4927</v>
      </c>
      <c r="D2195" t="s">
        <v>4928</v>
      </c>
      <c r="E2195" t="s">
        <v>23</v>
      </c>
      <c r="F2195" t="s">
        <v>44</v>
      </c>
      <c r="G2195">
        <v>2011</v>
      </c>
      <c r="H2195" t="s">
        <v>1234</v>
      </c>
      <c r="K2195" t="s">
        <v>25</v>
      </c>
      <c r="L2195" t="s">
        <v>30</v>
      </c>
      <c r="M2195" t="b">
        <v>1</v>
      </c>
      <c r="N2195" t="s">
        <v>4929</v>
      </c>
      <c r="Q2195" t="b">
        <v>0</v>
      </c>
      <c r="T2195" t="str">
        <f>"9780310332022"</f>
        <v>9780310332022</v>
      </c>
      <c r="U2195" t="b">
        <v>0</v>
      </c>
      <c r="W2195" t="b">
        <v>0</v>
      </c>
    </row>
    <row r="2196" spans="1:23" x14ac:dyDescent="0.3">
      <c r="A2196">
        <v>2980489</v>
      </c>
      <c r="B2196">
        <v>55.17</v>
      </c>
      <c r="C2196" t="s">
        <v>2749</v>
      </c>
      <c r="E2196" t="s">
        <v>23</v>
      </c>
      <c r="F2196" t="s">
        <v>44</v>
      </c>
      <c r="G2196">
        <v>2010</v>
      </c>
      <c r="H2196" t="s">
        <v>730</v>
      </c>
      <c r="K2196" t="s">
        <v>25</v>
      </c>
      <c r="L2196" t="s">
        <v>30</v>
      </c>
      <c r="M2196" t="b">
        <v>1</v>
      </c>
      <c r="N2196" t="s">
        <v>4930</v>
      </c>
      <c r="Q2196" t="b">
        <v>0</v>
      </c>
      <c r="S2196" t="str">
        <f>"9780310319948"</f>
        <v>9780310319948</v>
      </c>
      <c r="T2196" t="str">
        <f>"9780310395843"</f>
        <v>9780310395843</v>
      </c>
      <c r="U2196" t="b">
        <v>0</v>
      </c>
      <c r="W2196" t="b">
        <v>0</v>
      </c>
    </row>
    <row r="2197" spans="1:23" x14ac:dyDescent="0.3">
      <c r="A2197">
        <v>2980488</v>
      </c>
      <c r="B2197">
        <v>42.61</v>
      </c>
      <c r="C2197" t="s">
        <v>4931</v>
      </c>
      <c r="D2197" t="s">
        <v>2772</v>
      </c>
      <c r="E2197" t="s">
        <v>23</v>
      </c>
      <c r="F2197" t="s">
        <v>44</v>
      </c>
      <c r="G2197">
        <v>2011</v>
      </c>
      <c r="H2197" t="s">
        <v>1204</v>
      </c>
      <c r="K2197" t="s">
        <v>25</v>
      </c>
      <c r="L2197" t="s">
        <v>30</v>
      </c>
      <c r="M2197" t="b">
        <v>1</v>
      </c>
      <c r="N2197" t="s">
        <v>2774</v>
      </c>
      <c r="Q2197" t="b">
        <v>1</v>
      </c>
      <c r="T2197" t="str">
        <f>"9780310336198"</f>
        <v>9780310336198</v>
      </c>
      <c r="U2197" t="b">
        <v>0</v>
      </c>
      <c r="W2197" t="b">
        <v>0</v>
      </c>
    </row>
    <row r="2198" spans="1:23" x14ac:dyDescent="0.3">
      <c r="A2198">
        <v>2980487</v>
      </c>
      <c r="B2198">
        <v>55.17</v>
      </c>
      <c r="C2198" t="s">
        <v>4492</v>
      </c>
      <c r="D2198" t="s">
        <v>4932</v>
      </c>
      <c r="E2198" t="s">
        <v>23</v>
      </c>
      <c r="F2198" t="s">
        <v>44</v>
      </c>
      <c r="G2198">
        <v>2012</v>
      </c>
      <c r="H2198" t="s">
        <v>728</v>
      </c>
      <c r="K2198" t="s">
        <v>25</v>
      </c>
      <c r="L2198" t="s">
        <v>30</v>
      </c>
      <c r="M2198" t="b">
        <v>1</v>
      </c>
      <c r="N2198" t="s">
        <v>31</v>
      </c>
      <c r="Q2198" t="b">
        <v>1</v>
      </c>
      <c r="S2198" t="str">
        <f>"9780310266242"</f>
        <v>9780310266242</v>
      </c>
      <c r="T2198" t="str">
        <f>"9780310333647"</f>
        <v>9780310333647</v>
      </c>
      <c r="U2198" t="b">
        <v>0</v>
      </c>
      <c r="W2198" t="b">
        <v>0</v>
      </c>
    </row>
    <row r="2199" spans="1:23" x14ac:dyDescent="0.3">
      <c r="A2199">
        <v>2980486</v>
      </c>
      <c r="B2199">
        <v>34.47</v>
      </c>
      <c r="C2199" t="s">
        <v>4933</v>
      </c>
      <c r="E2199" t="s">
        <v>23</v>
      </c>
      <c r="F2199" t="s">
        <v>44</v>
      </c>
      <c r="G2199">
        <v>2010</v>
      </c>
      <c r="H2199" t="s">
        <v>3824</v>
      </c>
      <c r="K2199" t="s">
        <v>25</v>
      </c>
      <c r="L2199" t="s">
        <v>30</v>
      </c>
      <c r="M2199" t="b">
        <v>1</v>
      </c>
      <c r="N2199" t="s">
        <v>3825</v>
      </c>
      <c r="P2199" t="s">
        <v>3826</v>
      </c>
      <c r="Q2199" t="b">
        <v>0</v>
      </c>
      <c r="S2199" t="str">
        <f>"9780310718369"</f>
        <v>9780310718369</v>
      </c>
      <c r="T2199" t="str">
        <f>"9780310404767"</f>
        <v>9780310404767</v>
      </c>
      <c r="U2199" t="b">
        <v>0</v>
      </c>
      <c r="W2199" t="b">
        <v>0</v>
      </c>
    </row>
    <row r="2200" spans="1:23" x14ac:dyDescent="0.3">
      <c r="A2200">
        <v>2980485</v>
      </c>
      <c r="B2200">
        <v>34.47</v>
      </c>
      <c r="C2200" t="s">
        <v>4934</v>
      </c>
      <c r="D2200" t="s">
        <v>4935</v>
      </c>
      <c r="E2200" t="s">
        <v>23</v>
      </c>
      <c r="F2200" t="s">
        <v>44</v>
      </c>
      <c r="G2200">
        <v>2012</v>
      </c>
      <c r="H2200" t="s">
        <v>168</v>
      </c>
      <c r="K2200" t="s">
        <v>25</v>
      </c>
      <c r="L2200" t="s">
        <v>30</v>
      </c>
      <c r="M2200" t="b">
        <v>1</v>
      </c>
      <c r="N2200" t="s">
        <v>4936</v>
      </c>
      <c r="Q2200" t="b">
        <v>0</v>
      </c>
      <c r="S2200" t="str">
        <f>"9780310725442"</f>
        <v>9780310725442</v>
      </c>
      <c r="T2200" t="str">
        <f>"9780310725459"</f>
        <v>9780310725459</v>
      </c>
      <c r="U2200" t="b">
        <v>0</v>
      </c>
      <c r="W2200" t="b">
        <v>0</v>
      </c>
    </row>
    <row r="2201" spans="1:23" x14ac:dyDescent="0.3">
      <c r="A2201">
        <v>2980484</v>
      </c>
      <c r="B2201">
        <v>68.97</v>
      </c>
      <c r="C2201" t="s">
        <v>4937</v>
      </c>
      <c r="D2201" t="s">
        <v>4938</v>
      </c>
      <c r="E2201" t="s">
        <v>23</v>
      </c>
      <c r="F2201" t="s">
        <v>44</v>
      </c>
      <c r="G2201">
        <v>2017</v>
      </c>
      <c r="H2201" t="s">
        <v>56</v>
      </c>
      <c r="I2201" t="s">
        <v>4939</v>
      </c>
      <c r="J2201" t="s">
        <v>4940</v>
      </c>
      <c r="K2201" t="s">
        <v>25</v>
      </c>
      <c r="L2201" t="s">
        <v>26</v>
      </c>
      <c r="M2201" t="b">
        <v>1</v>
      </c>
      <c r="N2201" t="s">
        <v>2509</v>
      </c>
      <c r="O2201" t="str">
        <f>"170/.44"</f>
        <v>170/.44</v>
      </c>
      <c r="Q2201" t="b">
        <v>0</v>
      </c>
      <c r="S2201" t="str">
        <f>"9780310351801"</f>
        <v>9780310351801</v>
      </c>
      <c r="T2201" t="str">
        <f>"9780310350811"</f>
        <v>9780310350811</v>
      </c>
      <c r="U2201" t="b">
        <v>0</v>
      </c>
      <c r="W2201" t="b">
        <v>0</v>
      </c>
    </row>
    <row r="2202" spans="1:23" x14ac:dyDescent="0.3">
      <c r="A2202">
        <v>2980483</v>
      </c>
      <c r="B2202">
        <v>58.62</v>
      </c>
      <c r="C2202" t="s">
        <v>4941</v>
      </c>
      <c r="D2202" t="s">
        <v>4942</v>
      </c>
      <c r="E2202" t="s">
        <v>23</v>
      </c>
      <c r="F2202" t="s">
        <v>44</v>
      </c>
      <c r="G2202">
        <v>2018</v>
      </c>
      <c r="H2202" t="s">
        <v>62</v>
      </c>
      <c r="K2202" t="s">
        <v>25</v>
      </c>
      <c r="L2202" t="s">
        <v>26</v>
      </c>
      <c r="M2202" t="b">
        <v>1</v>
      </c>
      <c r="N2202" t="s">
        <v>3967</v>
      </c>
      <c r="Q2202" t="b">
        <v>0</v>
      </c>
      <c r="S2202" t="str">
        <f>"9780310091561"</f>
        <v>9780310091561</v>
      </c>
      <c r="T2202" t="str">
        <f>"9780310091578"</f>
        <v>9780310091578</v>
      </c>
      <c r="U2202" t="b">
        <v>0</v>
      </c>
      <c r="W2202" t="b">
        <v>0</v>
      </c>
    </row>
    <row r="2203" spans="1:23" x14ac:dyDescent="0.3">
      <c r="A2203">
        <v>2980482</v>
      </c>
      <c r="B2203">
        <v>65.52</v>
      </c>
      <c r="C2203" t="s">
        <v>4943</v>
      </c>
      <c r="D2203" t="s">
        <v>4944</v>
      </c>
      <c r="E2203" t="s">
        <v>23</v>
      </c>
      <c r="F2203" t="s">
        <v>44</v>
      </c>
      <c r="G2203">
        <v>2015</v>
      </c>
      <c r="H2203" t="s">
        <v>912</v>
      </c>
      <c r="K2203" t="s">
        <v>25</v>
      </c>
      <c r="L2203" t="s">
        <v>26</v>
      </c>
      <c r="M2203" t="b">
        <v>1</v>
      </c>
      <c r="N2203" t="s">
        <v>4945</v>
      </c>
      <c r="Q2203" t="b">
        <v>0</v>
      </c>
      <c r="S2203" t="str">
        <f>"9780310344841"</f>
        <v>9780310344841</v>
      </c>
      <c r="T2203" t="str">
        <f>"9780310345480"</f>
        <v>9780310345480</v>
      </c>
      <c r="U2203" t="b">
        <v>0</v>
      </c>
      <c r="W2203" t="b">
        <v>0</v>
      </c>
    </row>
    <row r="2204" spans="1:23" x14ac:dyDescent="0.3">
      <c r="A2204">
        <v>2980481</v>
      </c>
      <c r="B2204">
        <v>21.29</v>
      </c>
      <c r="C2204" t="s">
        <v>4946</v>
      </c>
      <c r="E2204" t="s">
        <v>23</v>
      </c>
      <c r="F2204" t="s">
        <v>44</v>
      </c>
      <c r="G2204">
        <v>2009</v>
      </c>
      <c r="H2204" t="s">
        <v>2158</v>
      </c>
      <c r="K2204" t="s">
        <v>25</v>
      </c>
      <c r="L2204" t="s">
        <v>30</v>
      </c>
      <c r="M2204" t="b">
        <v>1</v>
      </c>
      <c r="N2204" t="s">
        <v>83</v>
      </c>
      <c r="P2204" t="s">
        <v>1372</v>
      </c>
      <c r="Q2204" t="b">
        <v>1</v>
      </c>
      <c r="T2204" t="str">
        <f>"9780310862925"</f>
        <v>9780310862925</v>
      </c>
      <c r="U2204" t="b">
        <v>0</v>
      </c>
      <c r="W2204" t="b">
        <v>0</v>
      </c>
    </row>
    <row r="2205" spans="1:23" x14ac:dyDescent="0.3">
      <c r="A2205">
        <v>2980480</v>
      </c>
      <c r="B2205">
        <v>14.18</v>
      </c>
      <c r="C2205" t="s">
        <v>4947</v>
      </c>
      <c r="D2205" t="s">
        <v>4948</v>
      </c>
      <c r="E2205" t="s">
        <v>23</v>
      </c>
      <c r="F2205" t="s">
        <v>44</v>
      </c>
      <c r="G2205">
        <v>2019</v>
      </c>
      <c r="H2205" t="s">
        <v>772</v>
      </c>
      <c r="K2205" t="s">
        <v>25</v>
      </c>
      <c r="L2205" t="s">
        <v>30</v>
      </c>
      <c r="M2205" t="b">
        <v>1</v>
      </c>
      <c r="N2205" t="s">
        <v>958</v>
      </c>
      <c r="Q2205" t="b">
        <v>1</v>
      </c>
      <c r="T2205" t="str">
        <f>"9780310352747"</f>
        <v>9780310352747</v>
      </c>
      <c r="U2205" t="b">
        <v>0</v>
      </c>
      <c r="W2205" t="b">
        <v>0</v>
      </c>
    </row>
    <row r="2206" spans="1:23" x14ac:dyDescent="0.3">
      <c r="A2206">
        <v>2980479</v>
      </c>
      <c r="B2206">
        <v>51.72</v>
      </c>
      <c r="C2206" t="s">
        <v>4949</v>
      </c>
      <c r="D2206" t="s">
        <v>4950</v>
      </c>
      <c r="E2206" t="s">
        <v>23</v>
      </c>
      <c r="F2206" t="s">
        <v>44</v>
      </c>
      <c r="G2206">
        <v>2014</v>
      </c>
      <c r="H2206" t="s">
        <v>58</v>
      </c>
      <c r="K2206" t="s">
        <v>25</v>
      </c>
      <c r="L2206" t="s">
        <v>30</v>
      </c>
      <c r="M2206" t="b">
        <v>1</v>
      </c>
      <c r="N2206" t="s">
        <v>4467</v>
      </c>
      <c r="Q2206" t="b">
        <v>0</v>
      </c>
      <c r="S2206" t="str">
        <f>"9780310337218"</f>
        <v>9780310337218</v>
      </c>
      <c r="T2206" t="str">
        <f>"9780310337225"</f>
        <v>9780310337225</v>
      </c>
      <c r="U2206" t="b">
        <v>0</v>
      </c>
      <c r="W2206" t="b">
        <v>0</v>
      </c>
    </row>
    <row r="2207" spans="1:23" x14ac:dyDescent="0.3">
      <c r="A2207">
        <v>2980478</v>
      </c>
      <c r="B2207">
        <v>51.72</v>
      </c>
      <c r="C2207" t="s">
        <v>4951</v>
      </c>
      <c r="E2207" t="s">
        <v>23</v>
      </c>
      <c r="F2207" t="s">
        <v>44</v>
      </c>
      <c r="G2207">
        <v>2017</v>
      </c>
      <c r="H2207" t="s">
        <v>132</v>
      </c>
      <c r="K2207" t="s">
        <v>25</v>
      </c>
      <c r="L2207" t="s">
        <v>26</v>
      </c>
      <c r="M2207" t="b">
        <v>1</v>
      </c>
      <c r="N2207" t="s">
        <v>4952</v>
      </c>
      <c r="P2207" t="s">
        <v>1216</v>
      </c>
      <c r="Q2207" t="b">
        <v>0</v>
      </c>
      <c r="S2207" t="str">
        <f>"9780310085508"</f>
        <v>9780310085508</v>
      </c>
      <c r="T2207" t="str">
        <f>"9780310089667"</f>
        <v>9780310089667</v>
      </c>
      <c r="U2207" t="b">
        <v>0</v>
      </c>
      <c r="W2207" t="b">
        <v>0</v>
      </c>
    </row>
    <row r="2208" spans="1:23" x14ac:dyDescent="0.3">
      <c r="A2208">
        <v>2980477</v>
      </c>
      <c r="B2208">
        <v>68.97</v>
      </c>
      <c r="C2208" t="s">
        <v>4953</v>
      </c>
      <c r="D2208" t="s">
        <v>4954</v>
      </c>
      <c r="E2208" t="s">
        <v>23</v>
      </c>
      <c r="F2208" t="s">
        <v>44</v>
      </c>
      <c r="G2208">
        <v>2020</v>
      </c>
      <c r="H2208" t="s">
        <v>737</v>
      </c>
      <c r="K2208" t="s">
        <v>25</v>
      </c>
      <c r="L2208" t="s">
        <v>26</v>
      </c>
      <c r="M2208" t="b">
        <v>1</v>
      </c>
      <c r="N2208" t="s">
        <v>4955</v>
      </c>
      <c r="Q2208" t="b">
        <v>0</v>
      </c>
      <c r="S2208" t="str">
        <f>"9780310357131"</f>
        <v>9780310357131</v>
      </c>
      <c r="T2208" t="str">
        <f>"9780310357148"</f>
        <v>9780310357148</v>
      </c>
      <c r="U2208" t="b">
        <v>0</v>
      </c>
      <c r="W2208" t="b">
        <v>0</v>
      </c>
    </row>
    <row r="2209" spans="1:23" x14ac:dyDescent="0.3">
      <c r="A2209">
        <v>2980475</v>
      </c>
      <c r="B2209">
        <v>51.72</v>
      </c>
      <c r="C2209" t="s">
        <v>4956</v>
      </c>
      <c r="D2209" t="s">
        <v>4957</v>
      </c>
      <c r="E2209" t="s">
        <v>23</v>
      </c>
      <c r="F2209" t="s">
        <v>44</v>
      </c>
      <c r="G2209">
        <v>2010</v>
      </c>
      <c r="H2209" t="s">
        <v>880</v>
      </c>
      <c r="I2209" t="s">
        <v>1139</v>
      </c>
      <c r="K2209" t="s">
        <v>25</v>
      </c>
      <c r="L2209" t="s">
        <v>30</v>
      </c>
      <c r="M2209" t="b">
        <v>1</v>
      </c>
      <c r="N2209" t="s">
        <v>1041</v>
      </c>
      <c r="O2209" t="str">
        <f>"232.9/08"</f>
        <v>232.9/08</v>
      </c>
      <c r="Q2209" t="b">
        <v>0</v>
      </c>
      <c r="S2209" t="str">
        <f>"9780310328698"</f>
        <v>9780310328698</v>
      </c>
      <c r="T2209" t="str">
        <f>"9780310889755"</f>
        <v>9780310889755</v>
      </c>
      <c r="U2209" t="b">
        <v>0</v>
      </c>
      <c r="W2209" t="b">
        <v>0</v>
      </c>
    </row>
    <row r="2210" spans="1:23" x14ac:dyDescent="0.3">
      <c r="A2210">
        <v>2980474</v>
      </c>
      <c r="B2210">
        <v>55.17</v>
      </c>
      <c r="C2210" t="s">
        <v>4958</v>
      </c>
      <c r="D2210" t="s">
        <v>4959</v>
      </c>
      <c r="E2210" t="s">
        <v>23</v>
      </c>
      <c r="F2210" t="s">
        <v>44</v>
      </c>
      <c r="G2210">
        <v>2014</v>
      </c>
      <c r="H2210" t="s">
        <v>56</v>
      </c>
      <c r="K2210" t="s">
        <v>25</v>
      </c>
      <c r="L2210" t="s">
        <v>30</v>
      </c>
      <c r="M2210" t="b">
        <v>1</v>
      </c>
      <c r="N2210" t="s">
        <v>4960</v>
      </c>
      <c r="Q2210" t="b">
        <v>0</v>
      </c>
      <c r="S2210" t="str">
        <f>"9780310338970"</f>
        <v>9780310338970</v>
      </c>
      <c r="T2210" t="str">
        <f>"9780310338987"</f>
        <v>9780310338987</v>
      </c>
      <c r="U2210" t="b">
        <v>0</v>
      </c>
      <c r="W2210" t="b">
        <v>0</v>
      </c>
    </row>
    <row r="2211" spans="1:23" x14ac:dyDescent="0.3">
      <c r="A2211">
        <v>2980473</v>
      </c>
      <c r="B2211">
        <v>44.82</v>
      </c>
      <c r="C2211" t="s">
        <v>4961</v>
      </c>
      <c r="E2211" t="s">
        <v>23</v>
      </c>
      <c r="F2211" t="s">
        <v>44</v>
      </c>
      <c r="G2211">
        <v>2010</v>
      </c>
      <c r="H2211" t="s">
        <v>2746</v>
      </c>
      <c r="K2211" t="s">
        <v>25</v>
      </c>
      <c r="L2211" t="s">
        <v>30</v>
      </c>
      <c r="M2211" t="b">
        <v>1</v>
      </c>
      <c r="N2211" t="s">
        <v>3728</v>
      </c>
      <c r="P2211" t="s">
        <v>3729</v>
      </c>
      <c r="Q2211" t="b">
        <v>1</v>
      </c>
      <c r="S2211" t="str">
        <f>"9780310242970"</f>
        <v>9780310242970</v>
      </c>
      <c r="T2211" t="str">
        <f>"9780310874027"</f>
        <v>9780310874027</v>
      </c>
      <c r="U2211" t="b">
        <v>0</v>
      </c>
      <c r="W2211" t="b">
        <v>0</v>
      </c>
    </row>
    <row r="2212" spans="1:23" x14ac:dyDescent="0.3">
      <c r="A2212">
        <v>2980472</v>
      </c>
      <c r="B2212">
        <v>44.82</v>
      </c>
      <c r="C2212" t="s">
        <v>4962</v>
      </c>
      <c r="D2212" t="s">
        <v>4963</v>
      </c>
      <c r="E2212" t="s">
        <v>23</v>
      </c>
      <c r="F2212" t="s">
        <v>44</v>
      </c>
      <c r="G2212">
        <v>2009</v>
      </c>
      <c r="H2212" t="s">
        <v>58</v>
      </c>
      <c r="I2212" t="s">
        <v>3034</v>
      </c>
      <c r="J2212" t="s">
        <v>4964</v>
      </c>
      <c r="K2212" t="s">
        <v>25</v>
      </c>
      <c r="L2212" t="s">
        <v>30</v>
      </c>
      <c r="M2212" t="b">
        <v>1</v>
      </c>
      <c r="N2212" t="s">
        <v>4965</v>
      </c>
      <c r="O2212" t="str">
        <f>"248.4"</f>
        <v>248.4</v>
      </c>
      <c r="Q2212" t="b">
        <v>0</v>
      </c>
      <c r="S2212" t="str">
        <f>"9780310242802"</f>
        <v>9780310242802</v>
      </c>
      <c r="T2212" t="str">
        <f>"9780310833802"</f>
        <v>9780310833802</v>
      </c>
      <c r="U2212" t="b">
        <v>0</v>
      </c>
      <c r="W2212" t="b">
        <v>0</v>
      </c>
    </row>
    <row r="2213" spans="1:23" x14ac:dyDescent="0.3">
      <c r="A2213">
        <v>2980471</v>
      </c>
      <c r="B2213">
        <v>99.46</v>
      </c>
      <c r="C2213" t="s">
        <v>4966</v>
      </c>
      <c r="D2213" t="s">
        <v>4967</v>
      </c>
      <c r="E2213" t="s">
        <v>23</v>
      </c>
      <c r="F2213" t="s">
        <v>44</v>
      </c>
      <c r="G2213">
        <v>2018</v>
      </c>
      <c r="H2213" t="s">
        <v>4968</v>
      </c>
      <c r="K2213" t="s">
        <v>25</v>
      </c>
      <c r="L2213" t="s">
        <v>26</v>
      </c>
      <c r="M2213" t="b">
        <v>1</v>
      </c>
      <c r="N2213" t="s">
        <v>44</v>
      </c>
      <c r="Q2213" t="b">
        <v>0</v>
      </c>
      <c r="S2213" t="str">
        <f>"9780310450207"</f>
        <v>9780310450207</v>
      </c>
      <c r="T2213" t="str">
        <f>"9780310451471"</f>
        <v>9780310451471</v>
      </c>
      <c r="U2213" t="b">
        <v>0</v>
      </c>
      <c r="W2213" t="b">
        <v>0</v>
      </c>
    </row>
    <row r="2214" spans="1:23" x14ac:dyDescent="0.3">
      <c r="A2214">
        <v>2980470</v>
      </c>
      <c r="B2214">
        <v>42.61</v>
      </c>
      <c r="C2214" t="s">
        <v>4726</v>
      </c>
      <c r="D2214" t="s">
        <v>4969</v>
      </c>
      <c r="E2214" t="s">
        <v>23</v>
      </c>
      <c r="F2214" t="s">
        <v>44</v>
      </c>
      <c r="G2214">
        <v>2017</v>
      </c>
      <c r="H2214" t="s">
        <v>24</v>
      </c>
      <c r="K2214" t="s">
        <v>25</v>
      </c>
      <c r="L2214" t="s">
        <v>26</v>
      </c>
      <c r="M2214" t="b">
        <v>1</v>
      </c>
      <c r="N2214" t="s">
        <v>44</v>
      </c>
      <c r="Q2214" t="b">
        <v>0</v>
      </c>
      <c r="T2214" t="str">
        <f>"9780310088301"</f>
        <v>9780310088301</v>
      </c>
      <c r="U2214" t="b">
        <v>0</v>
      </c>
      <c r="W2214" t="b">
        <v>0</v>
      </c>
    </row>
    <row r="2215" spans="1:23" x14ac:dyDescent="0.3">
      <c r="A2215">
        <v>2980469</v>
      </c>
      <c r="B2215">
        <v>55.17</v>
      </c>
      <c r="C2215" t="s">
        <v>4970</v>
      </c>
      <c r="D2215" t="s">
        <v>4971</v>
      </c>
      <c r="E2215" t="s">
        <v>23</v>
      </c>
      <c r="F2215" t="s">
        <v>44</v>
      </c>
      <c r="G2215">
        <v>2015</v>
      </c>
      <c r="H2215" t="s">
        <v>1215</v>
      </c>
      <c r="K2215" t="s">
        <v>25</v>
      </c>
      <c r="L2215" t="s">
        <v>26</v>
      </c>
      <c r="M2215" t="b">
        <v>1</v>
      </c>
      <c r="N2215" t="s">
        <v>3760</v>
      </c>
      <c r="Q2215" t="b">
        <v>0</v>
      </c>
      <c r="S2215" t="str">
        <f>"9780310338154"</f>
        <v>9780310338154</v>
      </c>
      <c r="T2215" t="str">
        <f>"9780310338161"</f>
        <v>9780310338161</v>
      </c>
      <c r="U2215" t="b">
        <v>0</v>
      </c>
      <c r="W2215" t="b">
        <v>0</v>
      </c>
    </row>
    <row r="2216" spans="1:23" x14ac:dyDescent="0.3">
      <c r="A2216">
        <v>2980468</v>
      </c>
      <c r="B2216">
        <v>34.47</v>
      </c>
      <c r="C2216" t="s">
        <v>4972</v>
      </c>
      <c r="E2216" t="s">
        <v>23</v>
      </c>
      <c r="F2216" t="s">
        <v>44</v>
      </c>
      <c r="G2216">
        <v>2010</v>
      </c>
      <c r="H2216" t="s">
        <v>3147</v>
      </c>
      <c r="K2216" t="s">
        <v>25</v>
      </c>
      <c r="L2216" t="s">
        <v>30</v>
      </c>
      <c r="M2216" t="b">
        <v>1</v>
      </c>
      <c r="N2216" t="s">
        <v>3561</v>
      </c>
      <c r="P2216" t="s">
        <v>3562</v>
      </c>
      <c r="Q2216" t="b">
        <v>0</v>
      </c>
      <c r="S2216" t="str">
        <f>"9780310719243"</f>
        <v>9780310719243</v>
      </c>
      <c r="T2216" t="str">
        <f>"9780310416661"</f>
        <v>9780310416661</v>
      </c>
      <c r="U2216" t="b">
        <v>0</v>
      </c>
      <c r="W2216" t="b">
        <v>0</v>
      </c>
    </row>
    <row r="2217" spans="1:23" x14ac:dyDescent="0.3">
      <c r="A2217">
        <v>2980467</v>
      </c>
      <c r="B2217">
        <v>55.17</v>
      </c>
      <c r="C2217" t="s">
        <v>4973</v>
      </c>
      <c r="E2217" t="s">
        <v>23</v>
      </c>
      <c r="F2217" t="s">
        <v>44</v>
      </c>
      <c r="G2217">
        <v>2014</v>
      </c>
      <c r="H2217" t="s">
        <v>852</v>
      </c>
      <c r="K2217" t="s">
        <v>25</v>
      </c>
      <c r="L2217" t="s">
        <v>26</v>
      </c>
      <c r="M2217" t="b">
        <v>1</v>
      </c>
      <c r="N2217" t="s">
        <v>3913</v>
      </c>
      <c r="P2217" t="s">
        <v>3914</v>
      </c>
      <c r="Q2217" t="b">
        <v>1</v>
      </c>
      <c r="S2217" t="str">
        <f>"9780310332060"</f>
        <v>9780310332060</v>
      </c>
      <c r="T2217" t="str">
        <f>"9780310332107"</f>
        <v>9780310332107</v>
      </c>
      <c r="U2217" t="b">
        <v>0</v>
      </c>
      <c r="W2217" t="b">
        <v>0</v>
      </c>
    </row>
    <row r="2218" spans="1:23" x14ac:dyDescent="0.3">
      <c r="A2218">
        <v>2980466</v>
      </c>
      <c r="B2218">
        <v>55.17</v>
      </c>
      <c r="C2218" t="s">
        <v>4974</v>
      </c>
      <c r="E2218" t="s">
        <v>23</v>
      </c>
      <c r="F2218" t="s">
        <v>44</v>
      </c>
      <c r="G2218">
        <v>2018</v>
      </c>
      <c r="H2218" t="s">
        <v>772</v>
      </c>
      <c r="K2218" t="s">
        <v>25</v>
      </c>
      <c r="L2218" t="s">
        <v>26</v>
      </c>
      <c r="M2218" t="b">
        <v>1</v>
      </c>
      <c r="N2218" t="s">
        <v>776</v>
      </c>
      <c r="P2218" t="s">
        <v>3644</v>
      </c>
      <c r="Q2218" t="b">
        <v>1</v>
      </c>
      <c r="S2218" t="str">
        <f>"9780310349075"</f>
        <v>9780310349075</v>
      </c>
      <c r="T2218" t="str">
        <f>"9780310349051"</f>
        <v>9780310349051</v>
      </c>
      <c r="U2218" t="b">
        <v>0</v>
      </c>
      <c r="W2218" t="b">
        <v>0</v>
      </c>
    </row>
    <row r="2219" spans="1:23" x14ac:dyDescent="0.3">
      <c r="A2219">
        <v>2980465</v>
      </c>
      <c r="B2219">
        <v>55.17</v>
      </c>
      <c r="C2219" t="s">
        <v>4975</v>
      </c>
      <c r="E2219" t="s">
        <v>23</v>
      </c>
      <c r="F2219" t="s">
        <v>44</v>
      </c>
      <c r="G2219">
        <v>2015</v>
      </c>
      <c r="H2219" t="s">
        <v>66</v>
      </c>
      <c r="K2219" t="s">
        <v>25</v>
      </c>
      <c r="L2219" t="s">
        <v>26</v>
      </c>
      <c r="M2219" t="b">
        <v>1</v>
      </c>
      <c r="N2219" t="s">
        <v>77</v>
      </c>
      <c r="P2219" t="s">
        <v>4360</v>
      </c>
      <c r="Q2219" t="b">
        <v>1</v>
      </c>
      <c r="S2219" t="str">
        <f>"9780310332367"</f>
        <v>9780310332367</v>
      </c>
      <c r="T2219" t="str">
        <f>"9780310332404"</f>
        <v>9780310332404</v>
      </c>
      <c r="U2219" t="b">
        <v>0</v>
      </c>
      <c r="W2219" t="b">
        <v>0</v>
      </c>
    </row>
    <row r="2220" spans="1:23" x14ac:dyDescent="0.3">
      <c r="A2220">
        <v>2980464</v>
      </c>
      <c r="B2220">
        <v>10.63</v>
      </c>
      <c r="C2220" t="s">
        <v>4976</v>
      </c>
      <c r="D2220" t="s">
        <v>138</v>
      </c>
      <c r="E2220" t="s">
        <v>23</v>
      </c>
      <c r="F2220" t="s">
        <v>44</v>
      </c>
      <c r="G2220">
        <v>2010</v>
      </c>
      <c r="H2220" t="s">
        <v>34</v>
      </c>
      <c r="K2220" t="s">
        <v>25</v>
      </c>
      <c r="L2220" t="s">
        <v>30</v>
      </c>
      <c r="M2220" t="b">
        <v>1</v>
      </c>
      <c r="N2220" t="s">
        <v>139</v>
      </c>
      <c r="P2220" t="s">
        <v>140</v>
      </c>
      <c r="Q2220" t="b">
        <v>1</v>
      </c>
      <c r="T2220" t="str">
        <f>"9780310424628"</f>
        <v>9780310424628</v>
      </c>
      <c r="U2220" t="b">
        <v>0</v>
      </c>
      <c r="W2220" t="b">
        <v>0</v>
      </c>
    </row>
    <row r="2221" spans="1:23" x14ac:dyDescent="0.3">
      <c r="A2221">
        <v>2980463</v>
      </c>
      <c r="B2221">
        <v>27.57</v>
      </c>
      <c r="C2221" t="s">
        <v>4977</v>
      </c>
      <c r="E2221" t="s">
        <v>23</v>
      </c>
      <c r="F2221" t="s">
        <v>44</v>
      </c>
      <c r="G2221">
        <v>2017</v>
      </c>
      <c r="H2221" t="s">
        <v>728</v>
      </c>
      <c r="K2221" t="s">
        <v>25</v>
      </c>
      <c r="L2221" t="s">
        <v>26</v>
      </c>
      <c r="M2221" t="b">
        <v>1</v>
      </c>
      <c r="N2221" t="s">
        <v>773</v>
      </c>
      <c r="P2221" t="s">
        <v>4657</v>
      </c>
      <c r="Q2221" t="b">
        <v>1</v>
      </c>
      <c r="S2221" t="str">
        <f>"9780310359975"</f>
        <v>9780310359975</v>
      </c>
      <c r="T2221" t="str">
        <f>"9780310348092"</f>
        <v>9780310348092</v>
      </c>
      <c r="U2221" t="b">
        <v>0</v>
      </c>
      <c r="W2221" t="b">
        <v>0</v>
      </c>
    </row>
    <row r="2222" spans="1:23" x14ac:dyDescent="0.3">
      <c r="A2222">
        <v>2980462</v>
      </c>
      <c r="B2222">
        <v>53.27</v>
      </c>
      <c r="C2222" t="s">
        <v>4978</v>
      </c>
      <c r="E2222" t="s">
        <v>23</v>
      </c>
      <c r="F2222" t="s">
        <v>44</v>
      </c>
      <c r="G2222">
        <v>2010</v>
      </c>
      <c r="H2222" t="s">
        <v>24</v>
      </c>
      <c r="K2222" t="s">
        <v>25</v>
      </c>
      <c r="L2222" t="s">
        <v>30</v>
      </c>
      <c r="M2222" t="b">
        <v>1</v>
      </c>
      <c r="N2222" t="s">
        <v>752</v>
      </c>
      <c r="Q2222" t="b">
        <v>0</v>
      </c>
      <c r="T2222" t="str">
        <f>"9780310332787"</f>
        <v>9780310332787</v>
      </c>
      <c r="U2222" t="b">
        <v>0</v>
      </c>
      <c r="W2222" t="b">
        <v>0</v>
      </c>
    </row>
    <row r="2223" spans="1:23" x14ac:dyDescent="0.3">
      <c r="A2223">
        <v>2980461</v>
      </c>
      <c r="B2223">
        <v>34.47</v>
      </c>
      <c r="C2223" t="s">
        <v>4979</v>
      </c>
      <c r="D2223" t="s">
        <v>1061</v>
      </c>
      <c r="E2223" t="s">
        <v>23</v>
      </c>
      <c r="F2223" t="s">
        <v>44</v>
      </c>
      <c r="G2223">
        <v>2021</v>
      </c>
      <c r="H2223" t="s">
        <v>772</v>
      </c>
      <c r="K2223" t="s">
        <v>25</v>
      </c>
      <c r="L2223" t="s">
        <v>26</v>
      </c>
      <c r="M2223" t="b">
        <v>1</v>
      </c>
      <c r="N2223" t="s">
        <v>1062</v>
      </c>
      <c r="Q2223" t="b">
        <v>1</v>
      </c>
      <c r="S2223" t="str">
        <f>"9780310365822"</f>
        <v>9780310365822</v>
      </c>
      <c r="T2223" t="str">
        <f>"9780310365839"</f>
        <v>9780310365839</v>
      </c>
      <c r="U2223" t="b">
        <v>0</v>
      </c>
      <c r="W2223" t="b">
        <v>0</v>
      </c>
    </row>
    <row r="2224" spans="1:23" x14ac:dyDescent="0.3">
      <c r="A2224">
        <v>2980460</v>
      </c>
      <c r="B2224">
        <v>55.17</v>
      </c>
      <c r="C2224" t="s">
        <v>4980</v>
      </c>
      <c r="E2224" t="s">
        <v>23</v>
      </c>
      <c r="F2224" t="s">
        <v>44</v>
      </c>
      <c r="G2224">
        <v>2011</v>
      </c>
      <c r="H2224" t="s">
        <v>66</v>
      </c>
      <c r="K2224" t="s">
        <v>25</v>
      </c>
      <c r="L2224" t="s">
        <v>30</v>
      </c>
      <c r="M2224" t="b">
        <v>1</v>
      </c>
      <c r="N2224" t="s">
        <v>77</v>
      </c>
      <c r="Q2224" t="b">
        <v>1</v>
      </c>
      <c r="S2224" t="str">
        <f>"9780310332312"</f>
        <v>9780310332312</v>
      </c>
      <c r="T2224" t="str">
        <f>"9780310332343"</f>
        <v>9780310332343</v>
      </c>
      <c r="U2224" t="b">
        <v>0</v>
      </c>
      <c r="W2224" t="b">
        <v>0</v>
      </c>
    </row>
    <row r="2225" spans="1:23" x14ac:dyDescent="0.3">
      <c r="A2225">
        <v>2980459</v>
      </c>
      <c r="B2225">
        <v>34.47</v>
      </c>
      <c r="C2225" t="s">
        <v>4981</v>
      </c>
      <c r="E2225" t="s">
        <v>23</v>
      </c>
      <c r="F2225" t="s">
        <v>44</v>
      </c>
      <c r="G2225">
        <v>2009</v>
      </c>
      <c r="H2225" t="s">
        <v>168</v>
      </c>
      <c r="K2225" t="s">
        <v>25</v>
      </c>
      <c r="L2225" t="s">
        <v>30</v>
      </c>
      <c r="M2225" t="b">
        <v>1</v>
      </c>
      <c r="N2225" t="s">
        <v>1458</v>
      </c>
      <c r="P2225" t="s">
        <v>3077</v>
      </c>
      <c r="Q2225" t="b">
        <v>0</v>
      </c>
      <c r="S2225" t="str">
        <f>"9780310278849"</f>
        <v>9780310278849</v>
      </c>
      <c r="T2225" t="str">
        <f>"9780310863168"</f>
        <v>9780310863168</v>
      </c>
      <c r="U2225" t="b">
        <v>0</v>
      </c>
      <c r="W2225" t="b">
        <v>0</v>
      </c>
    </row>
    <row r="2226" spans="1:23" x14ac:dyDescent="0.3">
      <c r="A2226">
        <v>2980458</v>
      </c>
      <c r="B2226">
        <v>34.47</v>
      </c>
      <c r="C2226" t="s">
        <v>4982</v>
      </c>
      <c r="E2226" t="s">
        <v>23</v>
      </c>
      <c r="F2226" t="s">
        <v>44</v>
      </c>
      <c r="G2226">
        <v>2011</v>
      </c>
      <c r="H2226" t="s">
        <v>4029</v>
      </c>
      <c r="K2226" t="s">
        <v>25</v>
      </c>
      <c r="L2226" t="s">
        <v>30</v>
      </c>
      <c r="M2226" t="b">
        <v>1</v>
      </c>
      <c r="N2226" t="s">
        <v>408</v>
      </c>
      <c r="P2226" t="s">
        <v>4030</v>
      </c>
      <c r="Q2226" t="b">
        <v>0</v>
      </c>
      <c r="S2226" t="str">
        <f>"9780310748434"</f>
        <v>9780310748434</v>
      </c>
      <c r="T2226" t="str">
        <f>"9780310426745"</f>
        <v>9780310426745</v>
      </c>
      <c r="U2226" t="b">
        <v>0</v>
      </c>
      <c r="W2226" t="b">
        <v>0</v>
      </c>
    </row>
    <row r="2227" spans="1:23" x14ac:dyDescent="0.3">
      <c r="A2227">
        <v>2980457</v>
      </c>
      <c r="B2227">
        <v>44.82</v>
      </c>
      <c r="C2227" t="s">
        <v>4983</v>
      </c>
      <c r="D2227" t="s">
        <v>4984</v>
      </c>
      <c r="E2227" t="s">
        <v>23</v>
      </c>
      <c r="F2227" t="s">
        <v>44</v>
      </c>
      <c r="G2227">
        <v>2010</v>
      </c>
      <c r="H2227" t="s">
        <v>132</v>
      </c>
      <c r="K2227" t="s">
        <v>25</v>
      </c>
      <c r="L2227" t="s">
        <v>30</v>
      </c>
      <c r="M2227" t="b">
        <v>1</v>
      </c>
      <c r="N2227" t="s">
        <v>4985</v>
      </c>
      <c r="Q2227" t="b">
        <v>0</v>
      </c>
      <c r="S2227" t="str">
        <f>"9780310240433"</f>
        <v>9780310240433</v>
      </c>
      <c r="T2227" t="str">
        <f>"9780310872030"</f>
        <v>9780310872030</v>
      </c>
      <c r="U2227" t="b">
        <v>0</v>
      </c>
      <c r="W2227" t="b">
        <v>0</v>
      </c>
    </row>
    <row r="2228" spans="1:23" x14ac:dyDescent="0.3">
      <c r="A2228">
        <v>2980456</v>
      </c>
      <c r="B2228">
        <v>55.17</v>
      </c>
      <c r="C2228" t="s">
        <v>4986</v>
      </c>
      <c r="D2228" t="s">
        <v>4987</v>
      </c>
      <c r="E2228" t="s">
        <v>23</v>
      </c>
      <c r="F2228" t="s">
        <v>44</v>
      </c>
      <c r="G2228">
        <v>2014</v>
      </c>
      <c r="H2228" t="s">
        <v>705</v>
      </c>
      <c r="K2228" t="s">
        <v>25</v>
      </c>
      <c r="L2228" t="s">
        <v>30</v>
      </c>
      <c r="M2228" t="b">
        <v>1</v>
      </c>
      <c r="N2228" t="s">
        <v>4988</v>
      </c>
      <c r="Q2228" t="b">
        <v>0</v>
      </c>
      <c r="S2228" t="str">
        <f>"9780310340843"</f>
        <v>9780310340843</v>
      </c>
      <c r="T2228" t="str">
        <f>"9780310340850"</f>
        <v>9780310340850</v>
      </c>
      <c r="U2228" t="b">
        <v>0</v>
      </c>
      <c r="W2228" t="b">
        <v>0</v>
      </c>
    </row>
    <row r="2229" spans="1:23" x14ac:dyDescent="0.3">
      <c r="A2229">
        <v>2980455</v>
      </c>
      <c r="B2229">
        <v>55.17</v>
      </c>
      <c r="C2229" t="s">
        <v>4989</v>
      </c>
      <c r="E2229" t="s">
        <v>23</v>
      </c>
      <c r="F2229" t="s">
        <v>44</v>
      </c>
      <c r="G2229">
        <v>2010</v>
      </c>
      <c r="H2229" t="s">
        <v>66</v>
      </c>
      <c r="K2229" t="s">
        <v>25</v>
      </c>
      <c r="L2229" t="s">
        <v>30</v>
      </c>
      <c r="M2229" t="b">
        <v>1</v>
      </c>
      <c r="N2229" t="s">
        <v>2865</v>
      </c>
      <c r="Q2229" t="b">
        <v>1</v>
      </c>
      <c r="S2229" t="str">
        <f>"9780310272151"</f>
        <v>9780310272151</v>
      </c>
      <c r="T2229" t="str">
        <f>"9780310411765"</f>
        <v>9780310411765</v>
      </c>
      <c r="U2229" t="b">
        <v>0</v>
      </c>
      <c r="W2229" t="b">
        <v>0</v>
      </c>
    </row>
    <row r="2230" spans="1:23" x14ac:dyDescent="0.3">
      <c r="A2230">
        <v>2980454</v>
      </c>
      <c r="B2230">
        <v>42.61</v>
      </c>
      <c r="C2230" t="s">
        <v>4990</v>
      </c>
      <c r="D2230" t="s">
        <v>4991</v>
      </c>
      <c r="E2230" t="s">
        <v>23</v>
      </c>
      <c r="F2230" t="s">
        <v>44</v>
      </c>
      <c r="G2230">
        <v>2015</v>
      </c>
      <c r="H2230" t="s">
        <v>62</v>
      </c>
      <c r="K2230" t="s">
        <v>25</v>
      </c>
      <c r="L2230" t="s">
        <v>26</v>
      </c>
      <c r="M2230" t="b">
        <v>1</v>
      </c>
      <c r="N2230" t="s">
        <v>915</v>
      </c>
      <c r="Q2230" t="b">
        <v>0</v>
      </c>
      <c r="S2230" t="str">
        <f>"9780310339571"</f>
        <v>9780310339571</v>
      </c>
      <c r="T2230" t="str">
        <f>"9780310354048"</f>
        <v>9780310354048</v>
      </c>
      <c r="U2230" t="b">
        <v>0</v>
      </c>
      <c r="W2230" t="b">
        <v>0</v>
      </c>
    </row>
    <row r="2231" spans="1:23" x14ac:dyDescent="0.3">
      <c r="A2231">
        <v>2980453</v>
      </c>
      <c r="B2231">
        <v>65.52</v>
      </c>
      <c r="C2231" t="s">
        <v>4992</v>
      </c>
      <c r="E2231" t="s">
        <v>23</v>
      </c>
      <c r="F2231" t="s">
        <v>44</v>
      </c>
      <c r="G2231">
        <v>2019</v>
      </c>
      <c r="H2231" t="s">
        <v>1237</v>
      </c>
      <c r="K2231" t="s">
        <v>25</v>
      </c>
      <c r="L2231" t="s">
        <v>26</v>
      </c>
      <c r="M2231" t="b">
        <v>1</v>
      </c>
      <c r="N2231" t="s">
        <v>3524</v>
      </c>
      <c r="Q2231" t="b">
        <v>0</v>
      </c>
      <c r="S2231" t="str">
        <f>"9780310262657"</f>
        <v>9780310262657</v>
      </c>
      <c r="T2231" t="str">
        <f>"9780310359265"</f>
        <v>9780310359265</v>
      </c>
      <c r="U2231" t="b">
        <v>0</v>
      </c>
      <c r="W2231" t="b">
        <v>0</v>
      </c>
    </row>
    <row r="2232" spans="1:23" x14ac:dyDescent="0.3">
      <c r="A2232">
        <v>2980452</v>
      </c>
      <c r="B2232">
        <v>58.62</v>
      </c>
      <c r="C2232" t="s">
        <v>4993</v>
      </c>
      <c r="D2232" t="s">
        <v>4994</v>
      </c>
      <c r="E2232" t="s">
        <v>23</v>
      </c>
      <c r="F2232" t="s">
        <v>44</v>
      </c>
      <c r="G2232">
        <v>2019</v>
      </c>
      <c r="H2232" t="s">
        <v>58</v>
      </c>
      <c r="K2232" t="s">
        <v>25</v>
      </c>
      <c r="L2232" t="s">
        <v>26</v>
      </c>
      <c r="M2232" t="b">
        <v>1</v>
      </c>
      <c r="N2232" t="s">
        <v>2616</v>
      </c>
      <c r="Q2232" t="b">
        <v>0</v>
      </c>
      <c r="S2232" t="str">
        <f>"9780310632009"</f>
        <v>9780310632009</v>
      </c>
      <c r="T2232" t="str">
        <f>"9780310632016"</f>
        <v>9780310632016</v>
      </c>
      <c r="U2232" t="b">
        <v>0</v>
      </c>
      <c r="W2232" t="b">
        <v>0</v>
      </c>
    </row>
    <row r="2233" spans="1:23" x14ac:dyDescent="0.3">
      <c r="A2233">
        <v>2980451</v>
      </c>
      <c r="B2233">
        <v>68.97</v>
      </c>
      <c r="C2233" t="s">
        <v>4995</v>
      </c>
      <c r="D2233" t="s">
        <v>4996</v>
      </c>
      <c r="E2233" t="s">
        <v>23</v>
      </c>
      <c r="F2233" t="s">
        <v>44</v>
      </c>
      <c r="G2233">
        <v>2019</v>
      </c>
      <c r="H2233" t="s">
        <v>62</v>
      </c>
      <c r="K2233" t="s">
        <v>25</v>
      </c>
      <c r="L2233" t="s">
        <v>26</v>
      </c>
      <c r="M2233" t="b">
        <v>1</v>
      </c>
      <c r="N2233" t="s">
        <v>44</v>
      </c>
      <c r="Q2233" t="b">
        <v>0</v>
      </c>
      <c r="S2233" t="str">
        <f>"9780310452652"</f>
        <v>9780310452652</v>
      </c>
      <c r="T2233" t="str">
        <f>"9780310452669"</f>
        <v>9780310452669</v>
      </c>
      <c r="U2233" t="b">
        <v>0</v>
      </c>
      <c r="W2233" t="b">
        <v>0</v>
      </c>
    </row>
    <row r="2234" spans="1:23" x14ac:dyDescent="0.3">
      <c r="A2234">
        <v>2980450</v>
      </c>
      <c r="B2234">
        <v>103.47</v>
      </c>
      <c r="C2234" t="s">
        <v>4997</v>
      </c>
      <c r="E2234" t="s">
        <v>23</v>
      </c>
      <c r="F2234" t="s">
        <v>44</v>
      </c>
      <c r="G2234">
        <v>2011</v>
      </c>
      <c r="H2234" t="s">
        <v>50</v>
      </c>
      <c r="K2234" t="s">
        <v>25</v>
      </c>
      <c r="L2234" t="s">
        <v>30</v>
      </c>
      <c r="M2234" t="b">
        <v>1</v>
      </c>
      <c r="N2234" t="s">
        <v>4998</v>
      </c>
      <c r="Q2234" t="b">
        <v>0</v>
      </c>
      <c r="S2234" t="str">
        <f>"9780310670360"</f>
        <v>9780310670360</v>
      </c>
      <c r="T2234" t="str">
        <f>"9780310296591"</f>
        <v>9780310296591</v>
      </c>
      <c r="U2234" t="b">
        <v>0</v>
      </c>
      <c r="W2234" t="b">
        <v>0</v>
      </c>
    </row>
    <row r="2235" spans="1:23" x14ac:dyDescent="0.3">
      <c r="A2235">
        <v>2980449</v>
      </c>
      <c r="B2235">
        <v>42.61</v>
      </c>
      <c r="C2235" t="s">
        <v>4999</v>
      </c>
      <c r="D2235" t="s">
        <v>5000</v>
      </c>
      <c r="E2235" t="s">
        <v>23</v>
      </c>
      <c r="F2235" t="s">
        <v>44</v>
      </c>
      <c r="G2235">
        <v>2011</v>
      </c>
      <c r="H2235" t="s">
        <v>132</v>
      </c>
      <c r="K2235" t="s">
        <v>25</v>
      </c>
      <c r="L2235" t="s">
        <v>30</v>
      </c>
      <c r="M2235" t="b">
        <v>1</v>
      </c>
      <c r="N2235" t="s">
        <v>2309</v>
      </c>
      <c r="Q2235" t="b">
        <v>0</v>
      </c>
      <c r="T2235" t="str">
        <f>"9780310863526"</f>
        <v>9780310863526</v>
      </c>
      <c r="U2235" t="b">
        <v>0</v>
      </c>
      <c r="W2235" t="b">
        <v>0</v>
      </c>
    </row>
    <row r="2236" spans="1:23" x14ac:dyDescent="0.3">
      <c r="A2236">
        <v>2980448</v>
      </c>
      <c r="B2236">
        <v>93.12</v>
      </c>
      <c r="C2236" t="s">
        <v>5001</v>
      </c>
      <c r="D2236" t="s">
        <v>5002</v>
      </c>
      <c r="E2236" t="s">
        <v>23</v>
      </c>
      <c r="F2236" t="s">
        <v>44</v>
      </c>
      <c r="G2236">
        <v>2021</v>
      </c>
      <c r="H2236" t="s">
        <v>5003</v>
      </c>
      <c r="K2236" t="s">
        <v>25</v>
      </c>
      <c r="L2236" t="s">
        <v>26</v>
      </c>
      <c r="M2236" t="b">
        <v>1</v>
      </c>
      <c r="N2236" t="s">
        <v>5004</v>
      </c>
      <c r="Q2236" t="b">
        <v>0</v>
      </c>
      <c r="S2236" t="str">
        <f>"9780310361947"</f>
        <v>9780310361947</v>
      </c>
      <c r="T2236" t="str">
        <f>"9780310361961"</f>
        <v>9780310361961</v>
      </c>
      <c r="U2236" t="b">
        <v>0</v>
      </c>
      <c r="W2236" t="b">
        <v>0</v>
      </c>
    </row>
    <row r="2237" spans="1:23" x14ac:dyDescent="0.3">
      <c r="A2237">
        <v>2980447</v>
      </c>
      <c r="B2237">
        <v>62.07</v>
      </c>
      <c r="C2237" t="s">
        <v>5005</v>
      </c>
      <c r="D2237" t="s">
        <v>5006</v>
      </c>
      <c r="E2237" t="s">
        <v>23</v>
      </c>
      <c r="F2237" t="s">
        <v>44</v>
      </c>
      <c r="G2237">
        <v>2017</v>
      </c>
      <c r="H2237" t="s">
        <v>89</v>
      </c>
      <c r="K2237" t="s">
        <v>25</v>
      </c>
      <c r="L2237" t="s">
        <v>26</v>
      </c>
      <c r="M2237" t="b">
        <v>1</v>
      </c>
      <c r="N2237" t="s">
        <v>5007</v>
      </c>
      <c r="Q2237" t="b">
        <v>0</v>
      </c>
      <c r="S2237" t="str">
        <f>"9780310358374"</f>
        <v>9780310358374</v>
      </c>
      <c r="T2237" t="str">
        <f>"9780310339984"</f>
        <v>9780310339984</v>
      </c>
      <c r="U2237" t="b">
        <v>0</v>
      </c>
      <c r="W2237" t="b">
        <v>0</v>
      </c>
    </row>
    <row r="2238" spans="1:23" x14ac:dyDescent="0.3">
      <c r="A2238">
        <v>2980446</v>
      </c>
      <c r="B2238">
        <v>28.39</v>
      </c>
      <c r="C2238" t="s">
        <v>5008</v>
      </c>
      <c r="E2238" t="s">
        <v>23</v>
      </c>
      <c r="F2238" t="s">
        <v>44</v>
      </c>
      <c r="G2238">
        <v>2010</v>
      </c>
      <c r="H2238" t="s">
        <v>132</v>
      </c>
      <c r="K2238" t="s">
        <v>25</v>
      </c>
      <c r="L2238" t="s">
        <v>30</v>
      </c>
      <c r="M2238" t="b">
        <v>1</v>
      </c>
      <c r="N2238" t="s">
        <v>992</v>
      </c>
      <c r="Q2238" t="b">
        <v>0</v>
      </c>
      <c r="T2238" t="str">
        <f>"9780310873853"</f>
        <v>9780310873853</v>
      </c>
      <c r="U2238" t="b">
        <v>0</v>
      </c>
      <c r="W2238" t="b">
        <v>0</v>
      </c>
    </row>
    <row r="2239" spans="1:23" x14ac:dyDescent="0.3">
      <c r="A2239">
        <v>2980445</v>
      </c>
      <c r="B2239">
        <v>58.62</v>
      </c>
      <c r="C2239" t="s">
        <v>5009</v>
      </c>
      <c r="D2239" t="s">
        <v>5010</v>
      </c>
      <c r="E2239" t="s">
        <v>23</v>
      </c>
      <c r="F2239" t="s">
        <v>44</v>
      </c>
      <c r="G2239">
        <v>2014</v>
      </c>
      <c r="H2239" t="s">
        <v>62</v>
      </c>
      <c r="K2239" t="s">
        <v>25</v>
      </c>
      <c r="L2239" t="s">
        <v>26</v>
      </c>
      <c r="M2239" t="b">
        <v>1</v>
      </c>
      <c r="N2239" t="s">
        <v>776</v>
      </c>
      <c r="Q2239" t="b">
        <v>0</v>
      </c>
      <c r="S2239" t="str">
        <f>"9780310331346"</f>
        <v>9780310331346</v>
      </c>
      <c r="T2239" t="str">
        <f>"9780310331391"</f>
        <v>9780310331391</v>
      </c>
      <c r="U2239" t="b">
        <v>0</v>
      </c>
      <c r="W2239" t="b">
        <v>0</v>
      </c>
    </row>
    <row r="2240" spans="1:23" x14ac:dyDescent="0.3">
      <c r="A2240">
        <v>2980444</v>
      </c>
      <c r="B2240">
        <v>65.52</v>
      </c>
      <c r="C2240" t="s">
        <v>5011</v>
      </c>
      <c r="D2240" t="s">
        <v>5012</v>
      </c>
      <c r="E2240" t="s">
        <v>23</v>
      </c>
      <c r="F2240" t="s">
        <v>44</v>
      </c>
      <c r="G2240">
        <v>2016</v>
      </c>
      <c r="H2240" t="s">
        <v>68</v>
      </c>
      <c r="K2240" t="s">
        <v>25</v>
      </c>
      <c r="L2240" t="s">
        <v>26</v>
      </c>
      <c r="M2240" t="b">
        <v>1</v>
      </c>
      <c r="N2240" t="s">
        <v>5013</v>
      </c>
      <c r="Q2240" t="b">
        <v>0</v>
      </c>
      <c r="S2240" t="str">
        <f>"9780310343752"</f>
        <v>9780310343752</v>
      </c>
      <c r="T2240" t="str">
        <f>"9780310343769"</f>
        <v>9780310343769</v>
      </c>
      <c r="U2240" t="b">
        <v>0</v>
      </c>
      <c r="W2240" t="b">
        <v>0</v>
      </c>
    </row>
    <row r="2241" spans="1:23" x14ac:dyDescent="0.3">
      <c r="A2241">
        <v>2980443</v>
      </c>
      <c r="B2241">
        <v>46.16</v>
      </c>
      <c r="C2241" t="s">
        <v>5014</v>
      </c>
      <c r="D2241" t="s">
        <v>970</v>
      </c>
      <c r="E2241" t="s">
        <v>23</v>
      </c>
      <c r="F2241" t="s">
        <v>44</v>
      </c>
      <c r="G2241">
        <v>2018</v>
      </c>
      <c r="H2241" t="s">
        <v>132</v>
      </c>
      <c r="K2241" t="s">
        <v>25</v>
      </c>
      <c r="L2241" t="s">
        <v>26</v>
      </c>
      <c r="M2241" t="b">
        <v>1</v>
      </c>
      <c r="N2241" t="s">
        <v>968</v>
      </c>
      <c r="Q2241" t="b">
        <v>0</v>
      </c>
      <c r="S2241" t="str">
        <f>"9780310354765"</f>
        <v>9780310354765</v>
      </c>
      <c r="T2241" t="str">
        <f>"9780310354772"</f>
        <v>9780310354772</v>
      </c>
      <c r="U2241" t="b">
        <v>0</v>
      </c>
      <c r="W2241" t="b">
        <v>0</v>
      </c>
    </row>
    <row r="2242" spans="1:23" x14ac:dyDescent="0.3">
      <c r="A2242">
        <v>2980442</v>
      </c>
      <c r="B2242">
        <v>39.049999999999997</v>
      </c>
      <c r="C2242" t="s">
        <v>5015</v>
      </c>
      <c r="E2242" t="s">
        <v>23</v>
      </c>
      <c r="F2242" t="s">
        <v>44</v>
      </c>
      <c r="G2242">
        <v>2009</v>
      </c>
      <c r="H2242" t="s">
        <v>728</v>
      </c>
      <c r="K2242" t="s">
        <v>25</v>
      </c>
      <c r="L2242" t="s">
        <v>30</v>
      </c>
      <c r="M2242" t="b">
        <v>1</v>
      </c>
      <c r="N2242" t="s">
        <v>2902</v>
      </c>
      <c r="Q2242" t="b">
        <v>1</v>
      </c>
      <c r="T2242" t="str">
        <f>"9780310861508"</f>
        <v>9780310861508</v>
      </c>
      <c r="U2242" t="b">
        <v>0</v>
      </c>
      <c r="W2242" t="b">
        <v>0</v>
      </c>
    </row>
    <row r="2243" spans="1:23" x14ac:dyDescent="0.3">
      <c r="A2243">
        <v>2980441</v>
      </c>
      <c r="B2243">
        <v>46.16</v>
      </c>
      <c r="C2243" t="s">
        <v>5016</v>
      </c>
      <c r="D2243" t="s">
        <v>5017</v>
      </c>
      <c r="E2243" t="s">
        <v>23</v>
      </c>
      <c r="F2243" t="s">
        <v>44</v>
      </c>
      <c r="G2243">
        <v>2012</v>
      </c>
      <c r="H2243" t="s">
        <v>58</v>
      </c>
      <c r="K2243" t="s">
        <v>25</v>
      </c>
      <c r="L2243" t="s">
        <v>30</v>
      </c>
      <c r="M2243" t="b">
        <v>1</v>
      </c>
      <c r="N2243" t="s">
        <v>5018</v>
      </c>
      <c r="Q2243" t="b">
        <v>0</v>
      </c>
      <c r="T2243" t="str">
        <f>"9780310335801"</f>
        <v>9780310335801</v>
      </c>
      <c r="U2243" t="b">
        <v>0</v>
      </c>
      <c r="W2243" t="b">
        <v>0</v>
      </c>
    </row>
    <row r="2244" spans="1:23" x14ac:dyDescent="0.3">
      <c r="A2244">
        <v>2980440</v>
      </c>
      <c r="B2244">
        <v>65.52</v>
      </c>
      <c r="C2244" t="s">
        <v>5019</v>
      </c>
      <c r="D2244" t="s">
        <v>5020</v>
      </c>
      <c r="E2244" t="s">
        <v>23</v>
      </c>
      <c r="F2244" t="s">
        <v>44</v>
      </c>
      <c r="G2244">
        <v>2018</v>
      </c>
      <c r="H2244" t="s">
        <v>99</v>
      </c>
      <c r="K2244" t="s">
        <v>25</v>
      </c>
      <c r="L2244" t="s">
        <v>26</v>
      </c>
      <c r="M2244" t="b">
        <v>1</v>
      </c>
      <c r="N2244" t="s">
        <v>1157</v>
      </c>
      <c r="Q2244" t="b">
        <v>0</v>
      </c>
      <c r="S2244" t="str">
        <f>"9780310359388"</f>
        <v>9780310359388</v>
      </c>
      <c r="T2244" t="str">
        <f>"9780310352532"</f>
        <v>9780310352532</v>
      </c>
      <c r="U2244" t="b">
        <v>0</v>
      </c>
      <c r="W2244" t="b">
        <v>0</v>
      </c>
    </row>
    <row r="2245" spans="1:23" x14ac:dyDescent="0.3">
      <c r="A2245">
        <v>2980439</v>
      </c>
      <c r="B2245">
        <v>42.61</v>
      </c>
      <c r="C2245" t="s">
        <v>5021</v>
      </c>
      <c r="D2245" t="s">
        <v>5022</v>
      </c>
      <c r="E2245" t="s">
        <v>23</v>
      </c>
      <c r="F2245" t="s">
        <v>44</v>
      </c>
      <c r="G2245">
        <v>2010</v>
      </c>
      <c r="H2245" t="s">
        <v>751</v>
      </c>
      <c r="K2245" t="s">
        <v>25</v>
      </c>
      <c r="L2245" t="s">
        <v>30</v>
      </c>
      <c r="M2245" t="b">
        <v>1</v>
      </c>
      <c r="N2245" t="s">
        <v>5023</v>
      </c>
      <c r="Q2245" t="b">
        <v>0</v>
      </c>
      <c r="T2245" t="str">
        <f>"9780310561552"</f>
        <v>9780310561552</v>
      </c>
      <c r="U2245" t="b">
        <v>0</v>
      </c>
      <c r="W2245" t="b">
        <v>0</v>
      </c>
    </row>
    <row r="2246" spans="1:23" x14ac:dyDescent="0.3">
      <c r="A2246">
        <v>2980438</v>
      </c>
      <c r="B2246">
        <v>55.17</v>
      </c>
      <c r="C2246" t="s">
        <v>5024</v>
      </c>
      <c r="E2246" t="s">
        <v>23</v>
      </c>
      <c r="F2246" t="s">
        <v>44</v>
      </c>
      <c r="G2246">
        <v>2014</v>
      </c>
      <c r="H2246" t="s">
        <v>728</v>
      </c>
      <c r="K2246" t="s">
        <v>25</v>
      </c>
      <c r="L2246" t="s">
        <v>26</v>
      </c>
      <c r="M2246" t="b">
        <v>1</v>
      </c>
      <c r="N2246" t="s">
        <v>3463</v>
      </c>
      <c r="P2246" t="s">
        <v>3464</v>
      </c>
      <c r="Q2246" t="b">
        <v>1</v>
      </c>
      <c r="S2246" t="str">
        <f>"9780310330578"</f>
        <v>9780310330578</v>
      </c>
      <c r="T2246" t="str">
        <f>"9780310330585"</f>
        <v>9780310330585</v>
      </c>
      <c r="U2246" t="b">
        <v>0</v>
      </c>
      <c r="W2246" t="b">
        <v>0</v>
      </c>
    </row>
    <row r="2247" spans="1:23" x14ac:dyDescent="0.3">
      <c r="A2247">
        <v>2980436</v>
      </c>
      <c r="B2247">
        <v>55.17</v>
      </c>
      <c r="C2247" t="s">
        <v>5025</v>
      </c>
      <c r="D2247" t="s">
        <v>5026</v>
      </c>
      <c r="E2247" t="s">
        <v>23</v>
      </c>
      <c r="F2247" t="s">
        <v>44</v>
      </c>
      <c r="G2247">
        <v>2015</v>
      </c>
      <c r="H2247" t="s">
        <v>89</v>
      </c>
      <c r="K2247" t="s">
        <v>25</v>
      </c>
      <c r="L2247" t="s">
        <v>26</v>
      </c>
      <c r="M2247" t="b">
        <v>1</v>
      </c>
      <c r="N2247" t="s">
        <v>5027</v>
      </c>
      <c r="Q2247" t="b">
        <v>0</v>
      </c>
      <c r="S2247" t="str">
        <f>"9780310331018"</f>
        <v>9780310331018</v>
      </c>
      <c r="T2247" t="str">
        <f>"9780310331049"</f>
        <v>9780310331049</v>
      </c>
      <c r="U2247" t="b">
        <v>0</v>
      </c>
      <c r="W2247" t="b">
        <v>0</v>
      </c>
    </row>
    <row r="2248" spans="1:23" x14ac:dyDescent="0.3">
      <c r="A2248">
        <v>2980435</v>
      </c>
      <c r="B2248">
        <v>58.62</v>
      </c>
      <c r="C2248" t="s">
        <v>5028</v>
      </c>
      <c r="D2248" t="s">
        <v>5029</v>
      </c>
      <c r="E2248" t="s">
        <v>23</v>
      </c>
      <c r="F2248" t="s">
        <v>44</v>
      </c>
      <c r="G2248">
        <v>2015</v>
      </c>
      <c r="H2248" t="s">
        <v>1236</v>
      </c>
      <c r="K2248" t="s">
        <v>25</v>
      </c>
      <c r="L2248" t="s">
        <v>26</v>
      </c>
      <c r="M2248" t="b">
        <v>1</v>
      </c>
      <c r="N2248" t="s">
        <v>5030</v>
      </c>
      <c r="P2248" t="s">
        <v>2794</v>
      </c>
      <c r="Q2248" t="b">
        <v>0</v>
      </c>
      <c r="S2248" t="str">
        <f>"9780310345633"</f>
        <v>9780310345633</v>
      </c>
      <c r="T2248" t="str">
        <f>"9780310345664"</f>
        <v>9780310345664</v>
      </c>
      <c r="U2248" t="b">
        <v>0</v>
      </c>
      <c r="W2248" t="b">
        <v>0</v>
      </c>
    </row>
    <row r="2249" spans="1:23" x14ac:dyDescent="0.3">
      <c r="A2249">
        <v>2980434</v>
      </c>
      <c r="B2249">
        <v>44.82</v>
      </c>
      <c r="C2249" t="s">
        <v>5031</v>
      </c>
      <c r="E2249" t="s">
        <v>23</v>
      </c>
      <c r="F2249" t="s">
        <v>44</v>
      </c>
      <c r="G2249">
        <v>2009</v>
      </c>
      <c r="H2249" t="s">
        <v>56</v>
      </c>
      <c r="K2249" t="s">
        <v>25</v>
      </c>
      <c r="L2249" t="s">
        <v>30</v>
      </c>
      <c r="M2249" t="b">
        <v>1</v>
      </c>
      <c r="N2249" t="s">
        <v>5032</v>
      </c>
      <c r="Q2249" t="b">
        <v>0</v>
      </c>
      <c r="S2249" t="str">
        <f>"9780310283508"</f>
        <v>9780310283508</v>
      </c>
      <c r="T2249" t="str">
        <f>"9780310865872"</f>
        <v>9780310865872</v>
      </c>
      <c r="U2249" t="b">
        <v>0</v>
      </c>
      <c r="W2249" t="b">
        <v>0</v>
      </c>
    </row>
    <row r="2250" spans="1:23" x14ac:dyDescent="0.3">
      <c r="A2250">
        <v>2980433</v>
      </c>
      <c r="B2250">
        <v>86.22</v>
      </c>
      <c r="C2250" t="s">
        <v>5033</v>
      </c>
      <c r="D2250" t="s">
        <v>5034</v>
      </c>
      <c r="E2250" t="s">
        <v>23</v>
      </c>
      <c r="F2250" t="s">
        <v>44</v>
      </c>
      <c r="G2250">
        <v>2013</v>
      </c>
      <c r="H2250" t="s">
        <v>5035</v>
      </c>
      <c r="K2250" t="s">
        <v>25</v>
      </c>
      <c r="L2250" t="s">
        <v>30</v>
      </c>
      <c r="M2250" t="b">
        <v>1</v>
      </c>
      <c r="N2250" t="s">
        <v>44</v>
      </c>
      <c r="Q2250" t="b">
        <v>0</v>
      </c>
      <c r="S2250" t="str">
        <f>"9780061988196"</f>
        <v>9780061988196</v>
      </c>
      <c r="T2250" t="str">
        <f>"9780062098528"</f>
        <v>9780062098528</v>
      </c>
      <c r="U2250" t="b">
        <v>0</v>
      </c>
      <c r="W2250" t="b">
        <v>0</v>
      </c>
    </row>
    <row r="2251" spans="1:23" x14ac:dyDescent="0.3">
      <c r="A2251">
        <v>2980432</v>
      </c>
      <c r="B2251">
        <v>28.39</v>
      </c>
      <c r="C2251" t="s">
        <v>5036</v>
      </c>
      <c r="E2251" t="s">
        <v>23</v>
      </c>
      <c r="F2251" t="s">
        <v>44</v>
      </c>
      <c r="G2251">
        <v>2009</v>
      </c>
      <c r="H2251" t="s">
        <v>714</v>
      </c>
      <c r="K2251" t="s">
        <v>25</v>
      </c>
      <c r="L2251" t="s">
        <v>30</v>
      </c>
      <c r="M2251" t="b">
        <v>1</v>
      </c>
      <c r="N2251" t="s">
        <v>408</v>
      </c>
      <c r="P2251" t="s">
        <v>3599</v>
      </c>
      <c r="Q2251" t="b">
        <v>1</v>
      </c>
      <c r="T2251" t="str">
        <f>"9780310863274"</f>
        <v>9780310863274</v>
      </c>
      <c r="U2251" t="b">
        <v>0</v>
      </c>
      <c r="W2251" t="b">
        <v>0</v>
      </c>
    </row>
    <row r="2252" spans="1:23" x14ac:dyDescent="0.3">
      <c r="A2252">
        <v>2980431</v>
      </c>
      <c r="B2252">
        <v>7.07</v>
      </c>
      <c r="C2252" t="s">
        <v>5037</v>
      </c>
      <c r="D2252" t="s">
        <v>5038</v>
      </c>
      <c r="E2252" t="s">
        <v>23</v>
      </c>
      <c r="F2252" t="s">
        <v>44</v>
      </c>
      <c r="G2252">
        <v>2015</v>
      </c>
      <c r="H2252" t="s">
        <v>912</v>
      </c>
      <c r="K2252" t="s">
        <v>25</v>
      </c>
      <c r="L2252" t="s">
        <v>26</v>
      </c>
      <c r="M2252" t="b">
        <v>1</v>
      </c>
      <c r="N2252" t="s">
        <v>4508</v>
      </c>
      <c r="Q2252" t="b">
        <v>0</v>
      </c>
      <c r="T2252" t="str">
        <f>"9780310344605"</f>
        <v>9780310344605</v>
      </c>
      <c r="U2252" t="b">
        <v>0</v>
      </c>
      <c r="W2252" t="b">
        <v>0</v>
      </c>
    </row>
    <row r="2253" spans="1:23" x14ac:dyDescent="0.3">
      <c r="A2253">
        <v>2980430</v>
      </c>
      <c r="B2253">
        <v>34.47</v>
      </c>
      <c r="C2253" t="s">
        <v>5039</v>
      </c>
      <c r="E2253" t="s">
        <v>23</v>
      </c>
      <c r="F2253" t="s">
        <v>44</v>
      </c>
      <c r="G2253">
        <v>2019</v>
      </c>
      <c r="H2253" t="s">
        <v>62</v>
      </c>
      <c r="K2253" t="s">
        <v>25</v>
      </c>
      <c r="L2253" t="s">
        <v>26</v>
      </c>
      <c r="M2253" t="b">
        <v>1</v>
      </c>
      <c r="N2253" t="s">
        <v>44</v>
      </c>
      <c r="P2253" t="s">
        <v>2862</v>
      </c>
      <c r="Q2253" t="b">
        <v>0</v>
      </c>
      <c r="S2253" t="str">
        <f>"9780310451921"</f>
        <v>9780310451921</v>
      </c>
      <c r="T2253" t="str">
        <f>"9780310451938"</f>
        <v>9780310451938</v>
      </c>
      <c r="U2253" t="b">
        <v>0</v>
      </c>
      <c r="W2253" t="b">
        <v>0</v>
      </c>
    </row>
    <row r="2254" spans="1:23" x14ac:dyDescent="0.3">
      <c r="A2254">
        <v>2980429</v>
      </c>
      <c r="B2254">
        <v>34.47</v>
      </c>
      <c r="C2254" t="s">
        <v>5040</v>
      </c>
      <c r="E2254" t="s">
        <v>23</v>
      </c>
      <c r="F2254" t="s">
        <v>44</v>
      </c>
      <c r="G2254">
        <v>2010</v>
      </c>
      <c r="H2254" t="s">
        <v>3147</v>
      </c>
      <c r="K2254" t="s">
        <v>25</v>
      </c>
      <c r="L2254" t="s">
        <v>30</v>
      </c>
      <c r="M2254" t="b">
        <v>1</v>
      </c>
      <c r="N2254" t="s">
        <v>83</v>
      </c>
      <c r="P2254" t="s">
        <v>3897</v>
      </c>
      <c r="Q2254" t="b">
        <v>0</v>
      </c>
      <c r="S2254" t="str">
        <f>"9780310714842"</f>
        <v>9780310714842</v>
      </c>
      <c r="T2254" t="str">
        <f>"9780310575917"</f>
        <v>9780310575917</v>
      </c>
      <c r="U2254" t="b">
        <v>0</v>
      </c>
      <c r="W2254" t="b">
        <v>0</v>
      </c>
    </row>
    <row r="2255" spans="1:23" x14ac:dyDescent="0.3">
      <c r="A2255">
        <v>2980428</v>
      </c>
      <c r="B2255">
        <v>51.72</v>
      </c>
      <c r="C2255" t="s">
        <v>5041</v>
      </c>
      <c r="E2255" t="s">
        <v>23</v>
      </c>
      <c r="F2255" t="s">
        <v>44</v>
      </c>
      <c r="G2255">
        <v>2010</v>
      </c>
      <c r="H2255" t="s">
        <v>99</v>
      </c>
      <c r="K2255" t="s">
        <v>25</v>
      </c>
      <c r="L2255" t="s">
        <v>30</v>
      </c>
      <c r="M2255" t="b">
        <v>1</v>
      </c>
      <c r="N2255" t="s">
        <v>5042</v>
      </c>
      <c r="Q2255" t="b">
        <v>0</v>
      </c>
      <c r="S2255" t="str">
        <f>"9780310242833"</f>
        <v>9780310242833</v>
      </c>
      <c r="T2255" t="str">
        <f>"9780310871347"</f>
        <v>9780310871347</v>
      </c>
      <c r="U2255" t="b">
        <v>0</v>
      </c>
      <c r="W2255" t="b">
        <v>0</v>
      </c>
    </row>
    <row r="2256" spans="1:23" x14ac:dyDescent="0.3">
      <c r="A2256">
        <v>2980427</v>
      </c>
      <c r="B2256">
        <v>55.17</v>
      </c>
      <c r="C2256" t="s">
        <v>5043</v>
      </c>
      <c r="D2256" t="s">
        <v>5044</v>
      </c>
      <c r="E2256" t="s">
        <v>23</v>
      </c>
      <c r="F2256" t="s">
        <v>44</v>
      </c>
      <c r="G2256">
        <v>2011</v>
      </c>
      <c r="H2256" t="s">
        <v>58</v>
      </c>
      <c r="K2256" t="s">
        <v>25</v>
      </c>
      <c r="L2256" t="s">
        <v>30</v>
      </c>
      <c r="M2256" t="b">
        <v>1</v>
      </c>
      <c r="N2256" t="s">
        <v>3192</v>
      </c>
      <c r="Q2256" t="b">
        <v>0</v>
      </c>
      <c r="S2256" t="str">
        <f>"9780310251545"</f>
        <v>9780310251545</v>
      </c>
      <c r="T2256" t="str">
        <f>"9780310862086"</f>
        <v>9780310862086</v>
      </c>
      <c r="U2256" t="b">
        <v>0</v>
      </c>
      <c r="W2256" t="b">
        <v>0</v>
      </c>
    </row>
    <row r="2257" spans="1:23" x14ac:dyDescent="0.3">
      <c r="A2257">
        <v>2980426</v>
      </c>
      <c r="B2257">
        <v>44.82</v>
      </c>
      <c r="C2257" t="s">
        <v>5045</v>
      </c>
      <c r="D2257" t="s">
        <v>5046</v>
      </c>
      <c r="E2257" t="s">
        <v>23</v>
      </c>
      <c r="F2257" t="s">
        <v>44</v>
      </c>
      <c r="G2257">
        <v>2018</v>
      </c>
      <c r="H2257" t="s">
        <v>3704</v>
      </c>
      <c r="K2257" t="s">
        <v>25</v>
      </c>
      <c r="L2257" t="s">
        <v>26</v>
      </c>
      <c r="M2257" t="b">
        <v>1</v>
      </c>
      <c r="N2257" t="s">
        <v>1697</v>
      </c>
      <c r="Q2257" t="b">
        <v>0</v>
      </c>
      <c r="S2257" t="str">
        <f>"9780310765950"</f>
        <v>9780310765950</v>
      </c>
      <c r="T2257" t="str">
        <f>"9780310765875"</f>
        <v>9780310765875</v>
      </c>
      <c r="U2257" t="b">
        <v>0</v>
      </c>
      <c r="W2257" t="b">
        <v>0</v>
      </c>
    </row>
    <row r="2258" spans="1:23" x14ac:dyDescent="0.3">
      <c r="A2258">
        <v>2980425</v>
      </c>
      <c r="B2258">
        <v>65.52</v>
      </c>
      <c r="C2258" t="s">
        <v>5047</v>
      </c>
      <c r="D2258" t="s">
        <v>5048</v>
      </c>
      <c r="E2258" t="s">
        <v>23</v>
      </c>
      <c r="F2258" t="s">
        <v>44</v>
      </c>
      <c r="G2258">
        <v>2021</v>
      </c>
      <c r="H2258" t="s">
        <v>751</v>
      </c>
      <c r="K2258" t="s">
        <v>25</v>
      </c>
      <c r="L2258" t="s">
        <v>26</v>
      </c>
      <c r="M2258" t="b">
        <v>1</v>
      </c>
      <c r="N2258" t="s">
        <v>5049</v>
      </c>
      <c r="Q2258" t="b">
        <v>0</v>
      </c>
      <c r="S2258" t="str">
        <f>"9780310113010"</f>
        <v>9780310113010</v>
      </c>
      <c r="T2258" t="str">
        <f>"9780310113027"</f>
        <v>9780310113027</v>
      </c>
      <c r="U2258" t="b">
        <v>0</v>
      </c>
      <c r="W2258" t="b">
        <v>0</v>
      </c>
    </row>
    <row r="2259" spans="1:23" x14ac:dyDescent="0.3">
      <c r="A2259">
        <v>2980424</v>
      </c>
      <c r="B2259">
        <v>79.319999999999993</v>
      </c>
      <c r="C2259" t="s">
        <v>5050</v>
      </c>
      <c r="D2259" t="s">
        <v>5051</v>
      </c>
      <c r="E2259" t="s">
        <v>23</v>
      </c>
      <c r="F2259" t="s">
        <v>44</v>
      </c>
      <c r="G2259">
        <v>2017</v>
      </c>
      <c r="H2259" t="s">
        <v>58</v>
      </c>
      <c r="K2259" t="s">
        <v>25</v>
      </c>
      <c r="L2259" t="s">
        <v>26</v>
      </c>
      <c r="M2259" t="b">
        <v>1</v>
      </c>
      <c r="N2259" t="s">
        <v>752</v>
      </c>
      <c r="Q2259" t="b">
        <v>0</v>
      </c>
      <c r="S2259" t="str">
        <f>"9780310342830"</f>
        <v>9780310342830</v>
      </c>
      <c r="T2259" t="str">
        <f>"9780310342908"</f>
        <v>9780310342908</v>
      </c>
      <c r="U2259" t="b">
        <v>0</v>
      </c>
      <c r="W2259" t="b">
        <v>0</v>
      </c>
    </row>
    <row r="2260" spans="1:23" x14ac:dyDescent="0.3">
      <c r="A2260">
        <v>2980423</v>
      </c>
      <c r="B2260">
        <v>65.52</v>
      </c>
      <c r="C2260" t="s">
        <v>5052</v>
      </c>
      <c r="D2260" t="s">
        <v>5053</v>
      </c>
      <c r="E2260" t="s">
        <v>23</v>
      </c>
      <c r="F2260" t="s">
        <v>44</v>
      </c>
      <c r="G2260">
        <v>2021</v>
      </c>
      <c r="H2260" t="s">
        <v>119</v>
      </c>
      <c r="K2260" t="s">
        <v>25</v>
      </c>
      <c r="L2260" t="s">
        <v>26</v>
      </c>
      <c r="M2260" t="b">
        <v>1</v>
      </c>
      <c r="N2260" t="s">
        <v>5054</v>
      </c>
      <c r="Q2260" t="b">
        <v>0</v>
      </c>
      <c r="S2260" t="str">
        <f>"9780310534143"</f>
        <v>9780310534143</v>
      </c>
      <c r="T2260" t="str">
        <f>"9780310534150"</f>
        <v>9780310534150</v>
      </c>
      <c r="U2260" t="b">
        <v>0</v>
      </c>
      <c r="W2260" t="b">
        <v>0</v>
      </c>
    </row>
    <row r="2261" spans="1:23" x14ac:dyDescent="0.3">
      <c r="A2261">
        <v>2980422</v>
      </c>
      <c r="B2261">
        <v>35.5</v>
      </c>
      <c r="C2261" t="s">
        <v>5055</v>
      </c>
      <c r="D2261" t="s">
        <v>5056</v>
      </c>
      <c r="E2261" t="s">
        <v>23</v>
      </c>
      <c r="F2261" t="s">
        <v>44</v>
      </c>
      <c r="G2261">
        <v>2010</v>
      </c>
      <c r="H2261" t="s">
        <v>62</v>
      </c>
      <c r="K2261" t="s">
        <v>25</v>
      </c>
      <c r="L2261" t="s">
        <v>30</v>
      </c>
      <c r="M2261" t="b">
        <v>1</v>
      </c>
      <c r="N2261" t="s">
        <v>44</v>
      </c>
      <c r="Q2261" t="b">
        <v>0</v>
      </c>
      <c r="T2261" t="str">
        <f>"9780310870487"</f>
        <v>9780310870487</v>
      </c>
      <c r="U2261" t="b">
        <v>0</v>
      </c>
      <c r="W2261" t="b">
        <v>0</v>
      </c>
    </row>
    <row r="2262" spans="1:23" x14ac:dyDescent="0.3">
      <c r="A2262">
        <v>2980421</v>
      </c>
      <c r="B2262">
        <v>51.72</v>
      </c>
      <c r="C2262" t="s">
        <v>5057</v>
      </c>
      <c r="E2262" t="s">
        <v>23</v>
      </c>
      <c r="F2262" t="s">
        <v>44</v>
      </c>
      <c r="G2262">
        <v>2010</v>
      </c>
      <c r="H2262" t="s">
        <v>56</v>
      </c>
      <c r="K2262" t="s">
        <v>25</v>
      </c>
      <c r="L2262" t="s">
        <v>30</v>
      </c>
      <c r="M2262" t="b">
        <v>1</v>
      </c>
      <c r="N2262" t="s">
        <v>3025</v>
      </c>
      <c r="Q2262" t="b">
        <v>0</v>
      </c>
      <c r="S2262" t="str">
        <f>"9780310255635"</f>
        <v>9780310255635</v>
      </c>
      <c r="T2262" t="str">
        <f>"9780310873099"</f>
        <v>9780310873099</v>
      </c>
      <c r="U2262" t="b">
        <v>0</v>
      </c>
      <c r="W2262" t="b">
        <v>0</v>
      </c>
    </row>
    <row r="2263" spans="1:23" x14ac:dyDescent="0.3">
      <c r="A2263">
        <v>2980420</v>
      </c>
      <c r="B2263">
        <v>51.72</v>
      </c>
      <c r="C2263" t="s">
        <v>5058</v>
      </c>
      <c r="D2263" t="s">
        <v>1405</v>
      </c>
      <c r="E2263" t="s">
        <v>23</v>
      </c>
      <c r="F2263" t="s">
        <v>44</v>
      </c>
      <c r="G2263">
        <v>2012</v>
      </c>
      <c r="H2263" t="s">
        <v>66</v>
      </c>
      <c r="K2263" t="s">
        <v>25</v>
      </c>
      <c r="L2263" t="s">
        <v>26</v>
      </c>
      <c r="M2263" t="b">
        <v>1</v>
      </c>
      <c r="N2263" t="s">
        <v>4039</v>
      </c>
      <c r="P2263" t="s">
        <v>4611</v>
      </c>
      <c r="Q2263" t="b">
        <v>1</v>
      </c>
      <c r="S2263" t="str">
        <f>"9780310333173"</f>
        <v>9780310333173</v>
      </c>
      <c r="T2263" t="str">
        <f>"9780310333180"</f>
        <v>9780310333180</v>
      </c>
      <c r="U2263" t="b">
        <v>0</v>
      </c>
      <c r="W2263" t="b">
        <v>0</v>
      </c>
    </row>
    <row r="2264" spans="1:23" x14ac:dyDescent="0.3">
      <c r="A2264">
        <v>2980419</v>
      </c>
      <c r="B2264">
        <v>55.17</v>
      </c>
      <c r="C2264" t="s">
        <v>5059</v>
      </c>
      <c r="E2264" t="s">
        <v>23</v>
      </c>
      <c r="F2264" t="s">
        <v>44</v>
      </c>
      <c r="G2264">
        <v>2015</v>
      </c>
      <c r="H2264" t="s">
        <v>852</v>
      </c>
      <c r="K2264" t="s">
        <v>25</v>
      </c>
      <c r="L2264" t="s">
        <v>26</v>
      </c>
      <c r="M2264" t="b">
        <v>1</v>
      </c>
      <c r="N2264" t="s">
        <v>4502</v>
      </c>
      <c r="P2264" t="s">
        <v>4503</v>
      </c>
      <c r="Q2264" t="b">
        <v>1</v>
      </c>
      <c r="S2264" t="str">
        <f>"9780310338499"</f>
        <v>9780310338499</v>
      </c>
      <c r="T2264" t="str">
        <f>"9780310338550"</f>
        <v>9780310338550</v>
      </c>
      <c r="U2264" t="b">
        <v>0</v>
      </c>
      <c r="W2264" t="b">
        <v>0</v>
      </c>
    </row>
    <row r="2265" spans="1:23" x14ac:dyDescent="0.3">
      <c r="A2265">
        <v>2980418</v>
      </c>
      <c r="B2265">
        <v>14.18</v>
      </c>
      <c r="C2265" t="s">
        <v>5060</v>
      </c>
      <c r="D2265" t="s">
        <v>4948</v>
      </c>
      <c r="E2265" t="s">
        <v>23</v>
      </c>
      <c r="F2265" t="s">
        <v>44</v>
      </c>
      <c r="G2265">
        <v>2019</v>
      </c>
      <c r="H2265" t="s">
        <v>772</v>
      </c>
      <c r="K2265" t="s">
        <v>25</v>
      </c>
      <c r="L2265" t="s">
        <v>30</v>
      </c>
      <c r="M2265" t="b">
        <v>1</v>
      </c>
      <c r="N2265" t="s">
        <v>773</v>
      </c>
      <c r="Q2265" t="b">
        <v>1</v>
      </c>
      <c r="T2265" t="str">
        <f>"9780310352754"</f>
        <v>9780310352754</v>
      </c>
      <c r="U2265" t="b">
        <v>0</v>
      </c>
      <c r="W2265" t="b">
        <v>0</v>
      </c>
    </row>
    <row r="2266" spans="1:23" x14ac:dyDescent="0.3">
      <c r="A2266">
        <v>2980417</v>
      </c>
      <c r="B2266">
        <v>49.71</v>
      </c>
      <c r="C2266" t="s">
        <v>5061</v>
      </c>
      <c r="D2266" t="s">
        <v>5062</v>
      </c>
      <c r="E2266" t="s">
        <v>23</v>
      </c>
      <c r="F2266" t="s">
        <v>44</v>
      </c>
      <c r="G2266">
        <v>2009</v>
      </c>
      <c r="H2266" t="s">
        <v>99</v>
      </c>
      <c r="K2266" t="s">
        <v>25</v>
      </c>
      <c r="L2266" t="s">
        <v>30</v>
      </c>
      <c r="M2266" t="b">
        <v>1</v>
      </c>
      <c r="N2266" t="s">
        <v>280</v>
      </c>
      <c r="Q2266" t="b">
        <v>0</v>
      </c>
      <c r="T2266" t="str">
        <f>"9780310565901"</f>
        <v>9780310565901</v>
      </c>
      <c r="U2266" t="b">
        <v>0</v>
      </c>
      <c r="W2266" t="b">
        <v>0</v>
      </c>
    </row>
    <row r="2267" spans="1:23" x14ac:dyDescent="0.3">
      <c r="A2267">
        <v>2980416</v>
      </c>
      <c r="B2267">
        <v>44.82</v>
      </c>
      <c r="C2267" t="s">
        <v>5063</v>
      </c>
      <c r="D2267" t="s">
        <v>5064</v>
      </c>
      <c r="E2267" t="s">
        <v>23</v>
      </c>
      <c r="F2267" t="s">
        <v>44</v>
      </c>
      <c r="G2267">
        <v>2016</v>
      </c>
      <c r="H2267" t="s">
        <v>728</v>
      </c>
      <c r="K2267" t="s">
        <v>25</v>
      </c>
      <c r="L2267" t="s">
        <v>26</v>
      </c>
      <c r="M2267" t="b">
        <v>1</v>
      </c>
      <c r="N2267" t="s">
        <v>5065</v>
      </c>
      <c r="P2267" t="s">
        <v>2785</v>
      </c>
      <c r="Q2267" t="b">
        <v>1</v>
      </c>
      <c r="S2267" t="str">
        <f>"9780310395874"</f>
        <v>9780310395874</v>
      </c>
      <c r="T2267" t="str">
        <f>"9780310396055"</f>
        <v>9780310396055</v>
      </c>
      <c r="U2267" t="b">
        <v>0</v>
      </c>
      <c r="W2267" t="b">
        <v>0</v>
      </c>
    </row>
    <row r="2268" spans="1:23" x14ac:dyDescent="0.3">
      <c r="A2268">
        <v>2980415</v>
      </c>
      <c r="B2268">
        <v>34.47</v>
      </c>
      <c r="C2268" t="s">
        <v>5066</v>
      </c>
      <c r="D2268" t="s">
        <v>1061</v>
      </c>
      <c r="E2268" t="s">
        <v>23</v>
      </c>
      <c r="F2268" t="s">
        <v>44</v>
      </c>
      <c r="G2268">
        <v>2021</v>
      </c>
      <c r="H2268" t="s">
        <v>772</v>
      </c>
      <c r="K2268" t="s">
        <v>25</v>
      </c>
      <c r="L2268" t="s">
        <v>26</v>
      </c>
      <c r="M2268" t="b">
        <v>1</v>
      </c>
      <c r="N2268" t="s">
        <v>5067</v>
      </c>
      <c r="Q2268" t="b">
        <v>1</v>
      </c>
      <c r="S2268" t="str">
        <f>"9780310363224"</f>
        <v>9780310363224</v>
      </c>
      <c r="T2268" t="str">
        <f>"9780310363231"</f>
        <v>9780310363231</v>
      </c>
      <c r="U2268" t="b">
        <v>0</v>
      </c>
      <c r="W2268" t="b">
        <v>0</v>
      </c>
    </row>
    <row r="2269" spans="1:23" x14ac:dyDescent="0.3">
      <c r="A2269">
        <v>2980414</v>
      </c>
      <c r="B2269">
        <v>93.12</v>
      </c>
      <c r="C2269" t="s">
        <v>5068</v>
      </c>
      <c r="D2269" t="s">
        <v>5069</v>
      </c>
      <c r="E2269" t="s">
        <v>23</v>
      </c>
      <c r="F2269" t="s">
        <v>44</v>
      </c>
      <c r="G2269">
        <v>2020</v>
      </c>
      <c r="H2269" t="s">
        <v>5070</v>
      </c>
      <c r="I2269" t="s">
        <v>5071</v>
      </c>
      <c r="J2269" t="s">
        <v>5072</v>
      </c>
      <c r="K2269" t="s">
        <v>25</v>
      </c>
      <c r="L2269" t="s">
        <v>26</v>
      </c>
      <c r="M2269" t="b">
        <v>1</v>
      </c>
      <c r="N2269" t="s">
        <v>5073</v>
      </c>
      <c r="O2269" t="str">
        <f>"346.7303/8"</f>
        <v>346.7303/8</v>
      </c>
      <c r="Q2269" t="b">
        <v>0</v>
      </c>
      <c r="S2269" t="str">
        <f>"9780310356264"</f>
        <v>9780310356264</v>
      </c>
      <c r="T2269" t="str">
        <f>"9780310356271"</f>
        <v>9780310356271</v>
      </c>
      <c r="U2269" t="b">
        <v>0</v>
      </c>
      <c r="W2269" t="b">
        <v>0</v>
      </c>
    </row>
    <row r="2270" spans="1:23" x14ac:dyDescent="0.3">
      <c r="A2270">
        <v>2980413</v>
      </c>
      <c r="B2270">
        <v>51.72</v>
      </c>
      <c r="C2270" t="s">
        <v>5074</v>
      </c>
      <c r="D2270" t="s">
        <v>1405</v>
      </c>
      <c r="E2270" t="s">
        <v>23</v>
      </c>
      <c r="F2270" t="s">
        <v>44</v>
      </c>
      <c r="G2270">
        <v>2011</v>
      </c>
      <c r="H2270" t="s">
        <v>67</v>
      </c>
      <c r="K2270" t="s">
        <v>25</v>
      </c>
      <c r="L2270" t="s">
        <v>30</v>
      </c>
      <c r="M2270" t="b">
        <v>1</v>
      </c>
      <c r="N2270" t="s">
        <v>915</v>
      </c>
      <c r="Q2270" t="b">
        <v>1</v>
      </c>
      <c r="S2270" t="str">
        <f>"9780310292685"</f>
        <v>9780310292685</v>
      </c>
      <c r="T2270" t="str">
        <f>"9780310560166"</f>
        <v>9780310560166</v>
      </c>
      <c r="U2270" t="b">
        <v>0</v>
      </c>
      <c r="W2270" t="b">
        <v>0</v>
      </c>
    </row>
    <row r="2271" spans="1:23" x14ac:dyDescent="0.3">
      <c r="A2271">
        <v>2980412</v>
      </c>
      <c r="B2271">
        <v>88.8</v>
      </c>
      <c r="C2271" t="s">
        <v>5075</v>
      </c>
      <c r="D2271" t="s">
        <v>5076</v>
      </c>
      <c r="E2271" t="s">
        <v>23</v>
      </c>
      <c r="F2271" t="s">
        <v>44</v>
      </c>
      <c r="G2271">
        <v>2020</v>
      </c>
      <c r="H2271" t="s">
        <v>772</v>
      </c>
      <c r="K2271" t="s">
        <v>25</v>
      </c>
      <c r="L2271" t="s">
        <v>30</v>
      </c>
      <c r="M2271" t="b">
        <v>1</v>
      </c>
      <c r="N2271" t="s">
        <v>958</v>
      </c>
      <c r="Q2271" t="b">
        <v>1</v>
      </c>
      <c r="T2271" t="str">
        <f>"9780310362999"</f>
        <v>9780310362999</v>
      </c>
      <c r="U2271" t="b">
        <v>0</v>
      </c>
      <c r="W2271" t="b">
        <v>0</v>
      </c>
    </row>
    <row r="2272" spans="1:23" x14ac:dyDescent="0.3">
      <c r="A2272">
        <v>2980411</v>
      </c>
      <c r="B2272">
        <v>28.39</v>
      </c>
      <c r="C2272" t="s">
        <v>5077</v>
      </c>
      <c r="D2272" t="s">
        <v>3074</v>
      </c>
      <c r="E2272" t="s">
        <v>23</v>
      </c>
      <c r="F2272" t="s">
        <v>44</v>
      </c>
      <c r="G2272">
        <v>2011</v>
      </c>
      <c r="H2272" t="s">
        <v>56</v>
      </c>
      <c r="K2272" t="s">
        <v>25</v>
      </c>
      <c r="L2272" t="s">
        <v>26</v>
      </c>
      <c r="M2272" t="b">
        <v>1</v>
      </c>
      <c r="N2272" t="s">
        <v>2846</v>
      </c>
      <c r="Q2272" t="b">
        <v>0</v>
      </c>
      <c r="T2272" t="str">
        <f>"9780310334477"</f>
        <v>9780310334477</v>
      </c>
      <c r="U2272" t="b">
        <v>0</v>
      </c>
      <c r="W2272" t="b">
        <v>0</v>
      </c>
    </row>
    <row r="2273" spans="1:23" x14ac:dyDescent="0.3">
      <c r="A2273">
        <v>2980410</v>
      </c>
      <c r="B2273">
        <v>131.44</v>
      </c>
      <c r="C2273" t="s">
        <v>5078</v>
      </c>
      <c r="D2273" t="s">
        <v>5079</v>
      </c>
      <c r="E2273" t="s">
        <v>23</v>
      </c>
      <c r="F2273" t="s">
        <v>44</v>
      </c>
      <c r="G2273">
        <v>2014</v>
      </c>
      <c r="H2273" t="s">
        <v>66</v>
      </c>
      <c r="K2273" t="s">
        <v>25</v>
      </c>
      <c r="L2273" t="s">
        <v>30</v>
      </c>
      <c r="M2273" t="b">
        <v>1</v>
      </c>
      <c r="N2273" t="s">
        <v>2632</v>
      </c>
      <c r="P2273" t="s">
        <v>2633</v>
      </c>
      <c r="Q2273" t="b">
        <v>1</v>
      </c>
      <c r="T2273" t="str">
        <f>"9780310342861"</f>
        <v>9780310342861</v>
      </c>
      <c r="U2273" t="b">
        <v>0</v>
      </c>
      <c r="W2273" t="b">
        <v>0</v>
      </c>
    </row>
    <row r="2274" spans="1:23" x14ac:dyDescent="0.3">
      <c r="A2274">
        <v>2980409</v>
      </c>
      <c r="B2274">
        <v>35.5</v>
      </c>
      <c r="C2274" t="s">
        <v>5080</v>
      </c>
      <c r="D2274" t="s">
        <v>5081</v>
      </c>
      <c r="E2274" t="s">
        <v>23</v>
      </c>
      <c r="F2274" t="s">
        <v>44</v>
      </c>
      <c r="G2274">
        <v>2011</v>
      </c>
      <c r="H2274" t="s">
        <v>56</v>
      </c>
      <c r="K2274" t="s">
        <v>25</v>
      </c>
      <c r="L2274" t="s">
        <v>30</v>
      </c>
      <c r="M2274" t="b">
        <v>1</v>
      </c>
      <c r="N2274" t="s">
        <v>5082</v>
      </c>
      <c r="Q2274" t="b">
        <v>0</v>
      </c>
      <c r="T2274" t="str">
        <f>"9780310412885"</f>
        <v>9780310412885</v>
      </c>
      <c r="U2274" t="b">
        <v>0</v>
      </c>
      <c r="W2274" t="b">
        <v>0</v>
      </c>
    </row>
    <row r="2275" spans="1:23" x14ac:dyDescent="0.3">
      <c r="A2275">
        <v>2980408</v>
      </c>
      <c r="B2275">
        <v>65.52</v>
      </c>
      <c r="C2275" t="s">
        <v>5083</v>
      </c>
      <c r="D2275" t="s">
        <v>903</v>
      </c>
      <c r="E2275" t="s">
        <v>23</v>
      </c>
      <c r="F2275" t="s">
        <v>44</v>
      </c>
      <c r="G2275">
        <v>2021</v>
      </c>
      <c r="H2275" t="s">
        <v>89</v>
      </c>
      <c r="K2275" t="s">
        <v>25</v>
      </c>
      <c r="L2275" t="s">
        <v>26</v>
      </c>
      <c r="M2275" t="b">
        <v>1</v>
      </c>
      <c r="N2275" t="s">
        <v>904</v>
      </c>
      <c r="Q2275" t="b">
        <v>0</v>
      </c>
      <c r="S2275" t="str">
        <f>"9780310347583"</f>
        <v>9780310347583</v>
      </c>
      <c r="T2275" t="str">
        <f>"9780310347590"</f>
        <v>9780310347590</v>
      </c>
      <c r="U2275" t="b">
        <v>0</v>
      </c>
      <c r="W2275" t="b">
        <v>0</v>
      </c>
    </row>
    <row r="2276" spans="1:23" x14ac:dyDescent="0.3">
      <c r="A2276">
        <v>2980407</v>
      </c>
      <c r="B2276">
        <v>65.52</v>
      </c>
      <c r="C2276" t="s">
        <v>5084</v>
      </c>
      <c r="D2276" t="s">
        <v>5085</v>
      </c>
      <c r="E2276" t="s">
        <v>23</v>
      </c>
      <c r="F2276" t="s">
        <v>44</v>
      </c>
      <c r="G2276">
        <v>2021</v>
      </c>
      <c r="H2276" t="s">
        <v>720</v>
      </c>
      <c r="I2276" t="s">
        <v>1220</v>
      </c>
      <c r="J2276" t="s">
        <v>5086</v>
      </c>
      <c r="K2276" t="s">
        <v>25</v>
      </c>
      <c r="L2276" t="s">
        <v>26</v>
      </c>
      <c r="M2276" t="b">
        <v>1</v>
      </c>
      <c r="N2276" t="s">
        <v>5087</v>
      </c>
      <c r="O2276" t="str">
        <f>"306.81"</f>
        <v>306.81</v>
      </c>
      <c r="Q2276" t="b">
        <v>0</v>
      </c>
      <c r="S2276" t="str">
        <f>"9780310363569"</f>
        <v>9780310363569</v>
      </c>
      <c r="T2276" t="str">
        <f>"9780310363576"</f>
        <v>9780310363576</v>
      </c>
      <c r="U2276" t="b">
        <v>0</v>
      </c>
      <c r="W2276" t="b">
        <v>0</v>
      </c>
    </row>
    <row r="2277" spans="1:23" x14ac:dyDescent="0.3">
      <c r="A2277">
        <v>2980406</v>
      </c>
      <c r="B2277">
        <v>34.47</v>
      </c>
      <c r="C2277" t="s">
        <v>5088</v>
      </c>
      <c r="E2277" t="s">
        <v>23</v>
      </c>
      <c r="F2277" t="s">
        <v>44</v>
      </c>
      <c r="G2277">
        <v>2009</v>
      </c>
      <c r="H2277" t="s">
        <v>531</v>
      </c>
      <c r="K2277" t="s">
        <v>25</v>
      </c>
      <c r="L2277" t="s">
        <v>30</v>
      </c>
      <c r="M2277" t="b">
        <v>1</v>
      </c>
      <c r="N2277" t="s">
        <v>1285</v>
      </c>
      <c r="Q2277" t="b">
        <v>0</v>
      </c>
      <c r="S2277" t="str">
        <f>"9780310279297"</f>
        <v>9780310279297</v>
      </c>
      <c r="T2277" t="str">
        <f>"9780310864813"</f>
        <v>9780310864813</v>
      </c>
      <c r="U2277" t="b">
        <v>0</v>
      </c>
      <c r="W2277" t="b">
        <v>0</v>
      </c>
    </row>
    <row r="2278" spans="1:23" x14ac:dyDescent="0.3">
      <c r="A2278">
        <v>2980405</v>
      </c>
      <c r="B2278">
        <v>53.27</v>
      </c>
      <c r="C2278" t="s">
        <v>5089</v>
      </c>
      <c r="D2278" t="s">
        <v>5090</v>
      </c>
      <c r="E2278" t="s">
        <v>23</v>
      </c>
      <c r="F2278" t="s">
        <v>44</v>
      </c>
      <c r="G2278">
        <v>2015</v>
      </c>
      <c r="H2278" t="s">
        <v>89</v>
      </c>
      <c r="K2278" t="s">
        <v>25</v>
      </c>
      <c r="L2278" t="s">
        <v>26</v>
      </c>
      <c r="M2278" t="b">
        <v>1</v>
      </c>
      <c r="N2278" t="s">
        <v>5091</v>
      </c>
      <c r="Q2278" t="b">
        <v>0</v>
      </c>
      <c r="T2278" t="str">
        <f>"9780310342618"</f>
        <v>9780310342618</v>
      </c>
      <c r="U2278" t="b">
        <v>0</v>
      </c>
      <c r="W2278" t="b">
        <v>0</v>
      </c>
    </row>
    <row r="2279" spans="1:23" x14ac:dyDescent="0.3">
      <c r="A2279">
        <v>2980404</v>
      </c>
      <c r="B2279">
        <v>51.72</v>
      </c>
      <c r="C2279" t="s">
        <v>5092</v>
      </c>
      <c r="E2279" t="s">
        <v>23</v>
      </c>
      <c r="F2279" t="s">
        <v>44</v>
      </c>
      <c r="G2279">
        <v>2011</v>
      </c>
      <c r="H2279" t="s">
        <v>3944</v>
      </c>
      <c r="K2279" t="s">
        <v>25</v>
      </c>
      <c r="L2279" t="s">
        <v>30</v>
      </c>
      <c r="M2279" t="b">
        <v>1</v>
      </c>
      <c r="N2279" t="s">
        <v>3353</v>
      </c>
      <c r="P2279" t="s">
        <v>3945</v>
      </c>
      <c r="Q2279" t="b">
        <v>1</v>
      </c>
      <c r="S2279" t="str">
        <f>"9780310324546"</f>
        <v>9780310324546</v>
      </c>
      <c r="T2279" t="str">
        <f>"9780310413226"</f>
        <v>9780310413226</v>
      </c>
      <c r="U2279" t="b">
        <v>0</v>
      </c>
      <c r="W2279" t="b">
        <v>0</v>
      </c>
    </row>
    <row r="2280" spans="1:23" x14ac:dyDescent="0.3">
      <c r="A2280">
        <v>2980403</v>
      </c>
      <c r="B2280">
        <v>44.82</v>
      </c>
      <c r="C2280" t="s">
        <v>5093</v>
      </c>
      <c r="D2280" t="s">
        <v>5094</v>
      </c>
      <c r="E2280" t="s">
        <v>23</v>
      </c>
      <c r="F2280" t="s">
        <v>44</v>
      </c>
      <c r="G2280">
        <v>2016</v>
      </c>
      <c r="H2280" t="s">
        <v>132</v>
      </c>
      <c r="K2280" t="s">
        <v>25</v>
      </c>
      <c r="L2280" t="s">
        <v>26</v>
      </c>
      <c r="M2280" t="b">
        <v>1</v>
      </c>
      <c r="N2280" t="s">
        <v>1878</v>
      </c>
      <c r="Q2280" t="b">
        <v>0</v>
      </c>
      <c r="S2280" t="str">
        <f>"9780310344094"</f>
        <v>9780310344094</v>
      </c>
      <c r="T2280" t="str">
        <f>"9780310344124"</f>
        <v>9780310344124</v>
      </c>
      <c r="U2280" t="b">
        <v>0</v>
      </c>
      <c r="W2280" t="b">
        <v>0</v>
      </c>
    </row>
    <row r="2281" spans="1:23" x14ac:dyDescent="0.3">
      <c r="A2281">
        <v>2980402</v>
      </c>
      <c r="B2281">
        <v>65.52</v>
      </c>
      <c r="C2281" t="s">
        <v>5095</v>
      </c>
      <c r="D2281" t="s">
        <v>5096</v>
      </c>
      <c r="E2281" t="s">
        <v>23</v>
      </c>
      <c r="F2281" t="s">
        <v>44</v>
      </c>
      <c r="G2281">
        <v>2020</v>
      </c>
      <c r="H2281" t="s">
        <v>70</v>
      </c>
      <c r="I2281" t="s">
        <v>909</v>
      </c>
      <c r="J2281" t="s">
        <v>5097</v>
      </c>
      <c r="K2281" t="s">
        <v>25</v>
      </c>
      <c r="L2281" t="s">
        <v>26</v>
      </c>
      <c r="M2281" t="b">
        <v>1</v>
      </c>
      <c r="N2281" t="s">
        <v>5098</v>
      </c>
      <c r="O2281" t="str">
        <f>"248.4"</f>
        <v>248.4</v>
      </c>
      <c r="Q2281" t="b">
        <v>0</v>
      </c>
      <c r="S2281" t="str">
        <f>"9780310107217"</f>
        <v>9780310107217</v>
      </c>
      <c r="T2281" t="str">
        <f>"9780310107231"</f>
        <v>9780310107231</v>
      </c>
      <c r="U2281" t="b">
        <v>0</v>
      </c>
      <c r="W2281" t="b">
        <v>0</v>
      </c>
    </row>
    <row r="2282" spans="1:23" x14ac:dyDescent="0.3">
      <c r="A2282">
        <v>2980401</v>
      </c>
      <c r="B2282">
        <v>17.73</v>
      </c>
      <c r="C2282" t="s">
        <v>5099</v>
      </c>
      <c r="E2282" t="s">
        <v>23</v>
      </c>
      <c r="F2282" t="s">
        <v>44</v>
      </c>
      <c r="G2282">
        <v>2010</v>
      </c>
      <c r="H2282" t="s">
        <v>99</v>
      </c>
      <c r="I2282" t="s">
        <v>2453</v>
      </c>
      <c r="J2282" t="s">
        <v>5100</v>
      </c>
      <c r="K2282" t="s">
        <v>25</v>
      </c>
      <c r="L2282" t="s">
        <v>26</v>
      </c>
      <c r="M2282" t="b">
        <v>1</v>
      </c>
      <c r="N2282" t="s">
        <v>2269</v>
      </c>
      <c r="O2282" t="str">
        <f>"248.8/6"</f>
        <v>248.8/6</v>
      </c>
      <c r="Q2282" t="b">
        <v>0</v>
      </c>
      <c r="S2282" t="str">
        <f>"9780310214373"</f>
        <v>9780310214373</v>
      </c>
      <c r="T2282" t="str">
        <f>"9780310864714"</f>
        <v>9780310864714</v>
      </c>
      <c r="U2282" t="b">
        <v>0</v>
      </c>
      <c r="W2282" t="b">
        <v>0</v>
      </c>
    </row>
    <row r="2283" spans="1:23" x14ac:dyDescent="0.3">
      <c r="A2283">
        <v>2980400</v>
      </c>
      <c r="B2283">
        <v>35.5</v>
      </c>
      <c r="C2283" t="s">
        <v>5101</v>
      </c>
      <c r="D2283" t="s">
        <v>5102</v>
      </c>
      <c r="E2283" t="s">
        <v>23</v>
      </c>
      <c r="F2283" t="s">
        <v>44</v>
      </c>
      <c r="G2283">
        <v>2013</v>
      </c>
      <c r="H2283" t="s">
        <v>912</v>
      </c>
      <c r="K2283" t="s">
        <v>25</v>
      </c>
      <c r="L2283" t="s">
        <v>26</v>
      </c>
      <c r="M2283" t="b">
        <v>1</v>
      </c>
      <c r="N2283" t="s">
        <v>5103</v>
      </c>
      <c r="Q2283" t="b">
        <v>0</v>
      </c>
      <c r="T2283" t="str">
        <f>"9780310340645"</f>
        <v>9780310340645</v>
      </c>
      <c r="U2283" t="b">
        <v>0</v>
      </c>
      <c r="W2283" t="b">
        <v>0</v>
      </c>
    </row>
    <row r="2284" spans="1:23" x14ac:dyDescent="0.3">
      <c r="A2284">
        <v>2980399</v>
      </c>
      <c r="B2284">
        <v>35.5</v>
      </c>
      <c r="C2284" t="s">
        <v>5104</v>
      </c>
      <c r="E2284" t="s">
        <v>23</v>
      </c>
      <c r="F2284" t="s">
        <v>44</v>
      </c>
      <c r="G2284">
        <v>2009</v>
      </c>
      <c r="H2284" t="s">
        <v>58</v>
      </c>
      <c r="K2284" t="s">
        <v>25</v>
      </c>
      <c r="L2284" t="s">
        <v>30</v>
      </c>
      <c r="M2284" t="b">
        <v>1</v>
      </c>
      <c r="N2284" t="s">
        <v>2616</v>
      </c>
      <c r="Q2284" t="b">
        <v>0</v>
      </c>
      <c r="T2284" t="str">
        <f>"9780310868187"</f>
        <v>9780310868187</v>
      </c>
      <c r="U2284" t="b">
        <v>0</v>
      </c>
      <c r="W2284" t="b">
        <v>0</v>
      </c>
    </row>
    <row r="2285" spans="1:23" x14ac:dyDescent="0.3">
      <c r="A2285">
        <v>2980398</v>
      </c>
      <c r="B2285">
        <v>62.07</v>
      </c>
      <c r="C2285" t="s">
        <v>5105</v>
      </c>
      <c r="D2285" t="s">
        <v>5106</v>
      </c>
      <c r="E2285" t="s">
        <v>23</v>
      </c>
      <c r="F2285" t="s">
        <v>44</v>
      </c>
      <c r="G2285">
        <v>2019</v>
      </c>
      <c r="H2285" t="s">
        <v>99</v>
      </c>
      <c r="K2285" t="s">
        <v>25</v>
      </c>
      <c r="L2285" t="s">
        <v>26</v>
      </c>
      <c r="M2285" t="b">
        <v>1</v>
      </c>
      <c r="N2285" t="s">
        <v>4531</v>
      </c>
      <c r="Q2285" t="b">
        <v>0</v>
      </c>
      <c r="S2285" t="str">
        <f>"9780310340430"</f>
        <v>9780310340430</v>
      </c>
      <c r="T2285" t="str">
        <f>"9780310340454"</f>
        <v>9780310340454</v>
      </c>
      <c r="U2285" t="b">
        <v>0</v>
      </c>
      <c r="W2285" t="b">
        <v>0</v>
      </c>
    </row>
    <row r="2286" spans="1:23" x14ac:dyDescent="0.3">
      <c r="A2286">
        <v>2980397</v>
      </c>
      <c r="B2286">
        <v>85.25</v>
      </c>
      <c r="C2286" t="s">
        <v>5107</v>
      </c>
      <c r="D2286" t="s">
        <v>5108</v>
      </c>
      <c r="E2286" t="s">
        <v>23</v>
      </c>
      <c r="F2286" t="s">
        <v>44</v>
      </c>
      <c r="G2286">
        <v>2015</v>
      </c>
      <c r="H2286" t="s">
        <v>728</v>
      </c>
      <c r="K2286" t="s">
        <v>25</v>
      </c>
      <c r="L2286" t="s">
        <v>30</v>
      </c>
      <c r="M2286" t="b">
        <v>1</v>
      </c>
      <c r="N2286" t="s">
        <v>4128</v>
      </c>
      <c r="P2286" t="s">
        <v>4129</v>
      </c>
      <c r="Q2286" t="b">
        <v>1</v>
      </c>
      <c r="T2286" t="str">
        <f>"9780310344049"</f>
        <v>9780310344049</v>
      </c>
      <c r="U2286" t="b">
        <v>0</v>
      </c>
      <c r="W2286" t="b">
        <v>0</v>
      </c>
    </row>
    <row r="2287" spans="1:23" x14ac:dyDescent="0.3">
      <c r="A2287">
        <v>2980396</v>
      </c>
      <c r="B2287">
        <v>65.52</v>
      </c>
      <c r="C2287" t="s">
        <v>5109</v>
      </c>
      <c r="D2287" t="s">
        <v>5110</v>
      </c>
      <c r="E2287" t="s">
        <v>23</v>
      </c>
      <c r="F2287" t="s">
        <v>44</v>
      </c>
      <c r="G2287">
        <v>2009</v>
      </c>
      <c r="H2287" t="s">
        <v>69</v>
      </c>
      <c r="K2287" t="s">
        <v>25</v>
      </c>
      <c r="L2287" t="s">
        <v>30</v>
      </c>
      <c r="M2287" t="b">
        <v>1</v>
      </c>
      <c r="N2287" t="s">
        <v>2509</v>
      </c>
      <c r="Q2287" t="b">
        <v>0</v>
      </c>
      <c r="S2287" t="str">
        <f>"9780310200345"</f>
        <v>9780310200345</v>
      </c>
      <c r="T2287" t="str">
        <f>"9780310296676"</f>
        <v>9780310296676</v>
      </c>
      <c r="U2287" t="b">
        <v>0</v>
      </c>
      <c r="W2287" t="b">
        <v>0</v>
      </c>
    </row>
    <row r="2288" spans="1:23" x14ac:dyDescent="0.3">
      <c r="A2288">
        <v>2980395</v>
      </c>
      <c r="B2288">
        <v>65.52</v>
      </c>
      <c r="C2288" t="s">
        <v>5111</v>
      </c>
      <c r="D2288" t="s">
        <v>5112</v>
      </c>
      <c r="E2288" t="s">
        <v>23</v>
      </c>
      <c r="F2288" t="s">
        <v>44</v>
      </c>
      <c r="G2288">
        <v>2020</v>
      </c>
      <c r="H2288" t="s">
        <v>56</v>
      </c>
      <c r="K2288" t="s">
        <v>25</v>
      </c>
      <c r="L2288" t="s">
        <v>26</v>
      </c>
      <c r="M2288" t="b">
        <v>1</v>
      </c>
      <c r="N2288" t="s">
        <v>5113</v>
      </c>
      <c r="Q2288" t="b">
        <v>0</v>
      </c>
      <c r="S2288" t="str">
        <f>"9780310358008"</f>
        <v>9780310358008</v>
      </c>
      <c r="T2288" t="str">
        <f>"9780310358015"</f>
        <v>9780310358015</v>
      </c>
      <c r="U2288" t="b">
        <v>0</v>
      </c>
      <c r="W2288" t="b">
        <v>0</v>
      </c>
    </row>
    <row r="2289" spans="1:23" x14ac:dyDescent="0.3">
      <c r="A2289">
        <v>2980394</v>
      </c>
      <c r="B2289">
        <v>42.61</v>
      </c>
      <c r="C2289" t="s">
        <v>5114</v>
      </c>
      <c r="D2289" t="s">
        <v>5115</v>
      </c>
      <c r="E2289" t="s">
        <v>23</v>
      </c>
      <c r="F2289" t="s">
        <v>44</v>
      </c>
      <c r="G2289">
        <v>2009</v>
      </c>
      <c r="H2289" t="s">
        <v>62</v>
      </c>
      <c r="K2289" t="s">
        <v>25</v>
      </c>
      <c r="L2289" t="s">
        <v>30</v>
      </c>
      <c r="M2289" t="b">
        <v>1</v>
      </c>
      <c r="N2289" t="s">
        <v>2686</v>
      </c>
      <c r="Q2289" t="b">
        <v>0</v>
      </c>
      <c r="T2289" t="str">
        <f>"9780310866855"</f>
        <v>9780310866855</v>
      </c>
      <c r="U2289" t="b">
        <v>0</v>
      </c>
      <c r="W2289" t="b">
        <v>0</v>
      </c>
    </row>
    <row r="2290" spans="1:23" x14ac:dyDescent="0.3">
      <c r="A2290">
        <v>2980393</v>
      </c>
      <c r="B2290">
        <v>93.12</v>
      </c>
      <c r="C2290" t="s">
        <v>5116</v>
      </c>
      <c r="D2290" t="s">
        <v>5117</v>
      </c>
      <c r="E2290" t="s">
        <v>23</v>
      </c>
      <c r="F2290" t="s">
        <v>44</v>
      </c>
      <c r="G2290">
        <v>2021</v>
      </c>
      <c r="H2290" t="s">
        <v>1122</v>
      </c>
      <c r="I2290" t="s">
        <v>5118</v>
      </c>
      <c r="J2290" t="s">
        <v>5119</v>
      </c>
      <c r="K2290" t="s">
        <v>25</v>
      </c>
      <c r="L2290" t="s">
        <v>26</v>
      </c>
      <c r="M2290" t="b">
        <v>1</v>
      </c>
      <c r="N2290" t="s">
        <v>2721</v>
      </c>
      <c r="O2290" t="str">
        <f>"248.4"</f>
        <v>248.4</v>
      </c>
      <c r="Q2290" t="b">
        <v>0</v>
      </c>
      <c r="S2290" t="str">
        <f>"9780310109488"</f>
        <v>9780310109488</v>
      </c>
      <c r="T2290" t="str">
        <f>"9780310109495"</f>
        <v>9780310109495</v>
      </c>
      <c r="U2290" t="b">
        <v>0</v>
      </c>
      <c r="W2290" t="b">
        <v>0</v>
      </c>
    </row>
    <row r="2291" spans="1:23" x14ac:dyDescent="0.3">
      <c r="A2291">
        <v>2980392</v>
      </c>
      <c r="B2291">
        <v>55.17</v>
      </c>
      <c r="C2291" t="s">
        <v>5120</v>
      </c>
      <c r="D2291" t="s">
        <v>5121</v>
      </c>
      <c r="E2291" t="s">
        <v>23</v>
      </c>
      <c r="F2291" t="s">
        <v>44</v>
      </c>
      <c r="G2291">
        <v>2020</v>
      </c>
      <c r="H2291" t="s">
        <v>2079</v>
      </c>
      <c r="K2291" t="s">
        <v>25</v>
      </c>
      <c r="L2291" t="s">
        <v>26</v>
      </c>
      <c r="M2291" t="b">
        <v>1</v>
      </c>
      <c r="N2291" t="s">
        <v>44</v>
      </c>
      <c r="Q2291" t="b">
        <v>0</v>
      </c>
      <c r="S2291" t="str">
        <f>"9780310769569"</f>
        <v>9780310769569</v>
      </c>
      <c r="T2291" t="str">
        <f>"9780310769576"</f>
        <v>9780310769576</v>
      </c>
      <c r="U2291" t="b">
        <v>0</v>
      </c>
      <c r="W2291" t="b">
        <v>0</v>
      </c>
    </row>
    <row r="2292" spans="1:23" x14ac:dyDescent="0.3">
      <c r="A2292">
        <v>2980391</v>
      </c>
      <c r="B2292">
        <v>27.57</v>
      </c>
      <c r="C2292" t="s">
        <v>5122</v>
      </c>
      <c r="E2292" t="s">
        <v>23</v>
      </c>
      <c r="F2292" t="s">
        <v>44</v>
      </c>
      <c r="G2292">
        <v>2014</v>
      </c>
      <c r="H2292" t="s">
        <v>728</v>
      </c>
      <c r="K2292" t="s">
        <v>25</v>
      </c>
      <c r="L2292" t="s">
        <v>26</v>
      </c>
      <c r="M2292" t="b">
        <v>1</v>
      </c>
      <c r="N2292" t="s">
        <v>776</v>
      </c>
      <c r="P2292" t="s">
        <v>3036</v>
      </c>
      <c r="Q2292" t="b">
        <v>1</v>
      </c>
      <c r="S2292" t="str">
        <f>"9780310350736"</f>
        <v>9780310350736</v>
      </c>
      <c r="T2292" t="str">
        <f>"9780310335863"</f>
        <v>9780310335863</v>
      </c>
      <c r="U2292" t="b">
        <v>0</v>
      </c>
      <c r="W2292" t="b">
        <v>0</v>
      </c>
    </row>
    <row r="2293" spans="1:23" x14ac:dyDescent="0.3">
      <c r="A2293">
        <v>2980390</v>
      </c>
      <c r="B2293">
        <v>65.52</v>
      </c>
      <c r="C2293" t="s">
        <v>3303</v>
      </c>
      <c r="D2293" t="s">
        <v>5123</v>
      </c>
      <c r="E2293" t="s">
        <v>23</v>
      </c>
      <c r="F2293" t="s">
        <v>44</v>
      </c>
      <c r="G2293">
        <v>2020</v>
      </c>
      <c r="H2293" t="s">
        <v>89</v>
      </c>
      <c r="K2293" t="s">
        <v>25</v>
      </c>
      <c r="L2293" t="s">
        <v>26</v>
      </c>
      <c r="M2293" t="b">
        <v>1</v>
      </c>
      <c r="N2293" t="s">
        <v>3585</v>
      </c>
      <c r="Q2293" t="b">
        <v>0</v>
      </c>
      <c r="S2293" t="str">
        <f>"9780310358763"</f>
        <v>9780310358763</v>
      </c>
      <c r="T2293" t="str">
        <f>"9780310358770"</f>
        <v>9780310358770</v>
      </c>
      <c r="U2293" t="b">
        <v>0</v>
      </c>
      <c r="W2293" t="b">
        <v>0</v>
      </c>
    </row>
    <row r="2294" spans="1:23" x14ac:dyDescent="0.3">
      <c r="A2294">
        <v>2980389</v>
      </c>
      <c r="B2294">
        <v>68.97</v>
      </c>
      <c r="C2294" t="s">
        <v>5124</v>
      </c>
      <c r="D2294" t="s">
        <v>5125</v>
      </c>
      <c r="E2294" t="s">
        <v>23</v>
      </c>
      <c r="F2294" t="s">
        <v>44</v>
      </c>
      <c r="G2294">
        <v>2014</v>
      </c>
      <c r="H2294" t="s">
        <v>5126</v>
      </c>
      <c r="K2294" t="s">
        <v>25</v>
      </c>
      <c r="L2294" t="s">
        <v>30</v>
      </c>
      <c r="M2294" t="b">
        <v>1</v>
      </c>
      <c r="N2294" t="s">
        <v>5127</v>
      </c>
      <c r="Q2294" t="b">
        <v>0</v>
      </c>
      <c r="S2294" t="str">
        <f>"9780310731054"</f>
        <v>9780310731054</v>
      </c>
      <c r="T2294" t="str">
        <f>"9780310731078"</f>
        <v>9780310731078</v>
      </c>
      <c r="U2294" t="b">
        <v>0</v>
      </c>
      <c r="W2294" t="b">
        <v>0</v>
      </c>
    </row>
    <row r="2295" spans="1:23" x14ac:dyDescent="0.3">
      <c r="A2295">
        <v>2980388</v>
      </c>
      <c r="B2295">
        <v>27.57</v>
      </c>
      <c r="C2295" t="s">
        <v>5128</v>
      </c>
      <c r="E2295" t="s">
        <v>23</v>
      </c>
      <c r="F2295" t="s">
        <v>44</v>
      </c>
      <c r="G2295">
        <v>2017</v>
      </c>
      <c r="H2295" t="s">
        <v>772</v>
      </c>
      <c r="K2295" t="s">
        <v>25</v>
      </c>
      <c r="L2295" t="s">
        <v>26</v>
      </c>
      <c r="M2295" t="b">
        <v>1</v>
      </c>
      <c r="N2295" t="s">
        <v>776</v>
      </c>
      <c r="P2295" t="s">
        <v>3888</v>
      </c>
      <c r="Q2295" t="b">
        <v>1</v>
      </c>
      <c r="S2295" t="str">
        <f>"9780310359913"</f>
        <v>9780310359913</v>
      </c>
      <c r="T2295" t="str">
        <f>"9780310000952"</f>
        <v>9780310000952</v>
      </c>
      <c r="U2295" t="b">
        <v>0</v>
      </c>
      <c r="W2295" t="b">
        <v>0</v>
      </c>
    </row>
    <row r="2296" spans="1:23" x14ac:dyDescent="0.3">
      <c r="A2296">
        <v>2980387</v>
      </c>
      <c r="B2296">
        <v>55.17</v>
      </c>
      <c r="C2296" t="s">
        <v>5129</v>
      </c>
      <c r="E2296" t="s">
        <v>23</v>
      </c>
      <c r="F2296" t="s">
        <v>44</v>
      </c>
      <c r="G2296">
        <v>2009</v>
      </c>
      <c r="H2296" t="s">
        <v>74</v>
      </c>
      <c r="K2296" t="s">
        <v>25</v>
      </c>
      <c r="L2296" t="s">
        <v>30</v>
      </c>
      <c r="M2296" t="b">
        <v>1</v>
      </c>
      <c r="N2296" t="s">
        <v>31</v>
      </c>
      <c r="P2296" t="s">
        <v>4070</v>
      </c>
      <c r="Q2296" t="b">
        <v>1</v>
      </c>
      <c r="S2296" t="str">
        <f>"9780310342595"</f>
        <v>9780310342595</v>
      </c>
      <c r="T2296" t="str">
        <f>"9780310322160"</f>
        <v>9780310322160</v>
      </c>
      <c r="U2296" t="b">
        <v>0</v>
      </c>
      <c r="W2296" t="b">
        <v>0</v>
      </c>
    </row>
    <row r="2297" spans="1:23" x14ac:dyDescent="0.3">
      <c r="A2297">
        <v>2980386</v>
      </c>
      <c r="B2297">
        <v>34.47</v>
      </c>
      <c r="C2297" t="s">
        <v>5130</v>
      </c>
      <c r="E2297" t="s">
        <v>23</v>
      </c>
      <c r="F2297" t="s">
        <v>44</v>
      </c>
      <c r="G2297">
        <v>2018</v>
      </c>
      <c r="H2297" t="s">
        <v>62</v>
      </c>
      <c r="K2297" t="s">
        <v>25</v>
      </c>
      <c r="L2297" t="s">
        <v>26</v>
      </c>
      <c r="M2297" t="b">
        <v>1</v>
      </c>
      <c r="N2297" t="s">
        <v>44</v>
      </c>
      <c r="P2297" t="s">
        <v>2862</v>
      </c>
      <c r="Q2297" t="b">
        <v>0</v>
      </c>
      <c r="S2297" t="str">
        <f>"9780310091943"</f>
        <v>9780310091943</v>
      </c>
      <c r="T2297" t="str">
        <f>"9780310092551"</f>
        <v>9780310092551</v>
      </c>
      <c r="U2297" t="b">
        <v>0</v>
      </c>
      <c r="W2297" t="b">
        <v>0</v>
      </c>
    </row>
    <row r="2298" spans="1:23" x14ac:dyDescent="0.3">
      <c r="A2298">
        <v>2980385</v>
      </c>
      <c r="B2298">
        <v>14.18</v>
      </c>
      <c r="C2298" t="s">
        <v>5131</v>
      </c>
      <c r="D2298" t="s">
        <v>5132</v>
      </c>
      <c r="E2298" t="s">
        <v>23</v>
      </c>
      <c r="F2298" t="s">
        <v>44</v>
      </c>
      <c r="G2298">
        <v>2020</v>
      </c>
      <c r="H2298" t="s">
        <v>772</v>
      </c>
      <c r="K2298" t="s">
        <v>25</v>
      </c>
      <c r="L2298" t="s">
        <v>30</v>
      </c>
      <c r="M2298" t="b">
        <v>1</v>
      </c>
      <c r="N2298" t="s">
        <v>962</v>
      </c>
      <c r="Q2298" t="b">
        <v>1</v>
      </c>
      <c r="T2298" t="str">
        <f>"9780310357926"</f>
        <v>9780310357926</v>
      </c>
      <c r="U2298" t="b">
        <v>0</v>
      </c>
      <c r="W2298" t="b">
        <v>0</v>
      </c>
    </row>
    <row r="2299" spans="1:23" x14ac:dyDescent="0.3">
      <c r="A2299">
        <v>2980384</v>
      </c>
      <c r="B2299">
        <v>46.16</v>
      </c>
      <c r="C2299" t="s">
        <v>5133</v>
      </c>
      <c r="D2299" t="s">
        <v>5134</v>
      </c>
      <c r="E2299" t="s">
        <v>23</v>
      </c>
      <c r="F2299" t="s">
        <v>44</v>
      </c>
      <c r="G2299">
        <v>2010</v>
      </c>
      <c r="H2299" t="s">
        <v>68</v>
      </c>
      <c r="K2299" t="s">
        <v>25</v>
      </c>
      <c r="L2299" t="s">
        <v>30</v>
      </c>
      <c r="M2299" t="b">
        <v>1</v>
      </c>
      <c r="N2299" t="s">
        <v>2790</v>
      </c>
      <c r="Q2299" t="b">
        <v>0</v>
      </c>
      <c r="T2299" t="str">
        <f>"9780310565222"</f>
        <v>9780310565222</v>
      </c>
      <c r="U2299" t="b">
        <v>0</v>
      </c>
      <c r="W2299" t="b">
        <v>0</v>
      </c>
    </row>
    <row r="2300" spans="1:23" x14ac:dyDescent="0.3">
      <c r="A2300">
        <v>2980383</v>
      </c>
      <c r="B2300">
        <v>44.82</v>
      </c>
      <c r="C2300" t="s">
        <v>5135</v>
      </c>
      <c r="E2300" t="s">
        <v>23</v>
      </c>
      <c r="F2300" t="s">
        <v>44</v>
      </c>
      <c r="G2300">
        <v>2009</v>
      </c>
      <c r="H2300" t="s">
        <v>728</v>
      </c>
      <c r="K2300" t="s">
        <v>25</v>
      </c>
      <c r="L2300" t="s">
        <v>30</v>
      </c>
      <c r="M2300" t="b">
        <v>1</v>
      </c>
      <c r="N2300" t="s">
        <v>741</v>
      </c>
      <c r="P2300" t="s">
        <v>2533</v>
      </c>
      <c r="Q2300" t="b">
        <v>1</v>
      </c>
      <c r="S2300" t="str">
        <f>"9780310231059"</f>
        <v>9780310231059</v>
      </c>
      <c r="T2300" t="str">
        <f>"9780310832669"</f>
        <v>9780310832669</v>
      </c>
      <c r="U2300" t="b">
        <v>0</v>
      </c>
      <c r="W2300" t="b">
        <v>0</v>
      </c>
    </row>
    <row r="2301" spans="1:23" x14ac:dyDescent="0.3">
      <c r="A2301">
        <v>2980382</v>
      </c>
      <c r="B2301">
        <v>55.17</v>
      </c>
      <c r="C2301" t="s">
        <v>5136</v>
      </c>
      <c r="D2301" t="s">
        <v>5137</v>
      </c>
      <c r="E2301" t="s">
        <v>23</v>
      </c>
      <c r="F2301" t="s">
        <v>44</v>
      </c>
      <c r="G2301">
        <v>2015</v>
      </c>
      <c r="H2301" t="s">
        <v>107</v>
      </c>
      <c r="K2301" t="s">
        <v>25</v>
      </c>
      <c r="L2301" t="s">
        <v>30</v>
      </c>
      <c r="M2301" t="b">
        <v>1</v>
      </c>
      <c r="N2301" t="s">
        <v>5138</v>
      </c>
      <c r="Q2301" t="b">
        <v>0</v>
      </c>
      <c r="S2301" t="str">
        <f>"9780310341611"</f>
        <v>9780310341611</v>
      </c>
      <c r="T2301" t="str">
        <f>"9780310341642"</f>
        <v>9780310341642</v>
      </c>
      <c r="U2301" t="b">
        <v>0</v>
      </c>
      <c r="W2301" t="b">
        <v>0</v>
      </c>
    </row>
    <row r="2302" spans="1:23" x14ac:dyDescent="0.3">
      <c r="A2302">
        <v>2980381</v>
      </c>
      <c r="B2302">
        <v>55.17</v>
      </c>
      <c r="C2302" t="s">
        <v>5139</v>
      </c>
      <c r="E2302" t="s">
        <v>23</v>
      </c>
      <c r="F2302" t="s">
        <v>44</v>
      </c>
      <c r="G2302">
        <v>2015</v>
      </c>
      <c r="H2302" t="s">
        <v>66</v>
      </c>
      <c r="K2302" t="s">
        <v>25</v>
      </c>
      <c r="L2302" t="s">
        <v>30</v>
      </c>
      <c r="M2302" t="b">
        <v>1</v>
      </c>
      <c r="N2302" t="s">
        <v>2865</v>
      </c>
      <c r="P2302" t="s">
        <v>5140</v>
      </c>
      <c r="Q2302" t="b">
        <v>1</v>
      </c>
      <c r="S2302" t="str">
        <f>"9780310338055"</f>
        <v>9780310338055</v>
      </c>
      <c r="T2302" t="str">
        <f>"9780310338062"</f>
        <v>9780310338062</v>
      </c>
      <c r="U2302" t="b">
        <v>0</v>
      </c>
      <c r="W2302" t="b">
        <v>0</v>
      </c>
    </row>
    <row r="2303" spans="1:23" x14ac:dyDescent="0.3">
      <c r="A2303">
        <v>2980380</v>
      </c>
      <c r="B2303">
        <v>55.17</v>
      </c>
      <c r="C2303" t="s">
        <v>5141</v>
      </c>
      <c r="D2303" t="s">
        <v>5142</v>
      </c>
      <c r="E2303" t="s">
        <v>23</v>
      </c>
      <c r="F2303" t="s">
        <v>44</v>
      </c>
      <c r="G2303">
        <v>2014</v>
      </c>
      <c r="H2303" t="s">
        <v>58</v>
      </c>
      <c r="K2303" t="s">
        <v>25</v>
      </c>
      <c r="L2303" t="s">
        <v>30</v>
      </c>
      <c r="M2303" t="b">
        <v>1</v>
      </c>
      <c r="N2303" t="s">
        <v>4365</v>
      </c>
      <c r="Q2303" t="b">
        <v>0</v>
      </c>
      <c r="S2303" t="str">
        <f>"9780310337973"</f>
        <v>9780310337973</v>
      </c>
      <c r="T2303" t="str">
        <f>"9780310337980"</f>
        <v>9780310337980</v>
      </c>
      <c r="U2303" t="b">
        <v>0</v>
      </c>
      <c r="W2303" t="b">
        <v>0</v>
      </c>
    </row>
    <row r="2304" spans="1:23" x14ac:dyDescent="0.3">
      <c r="A2304">
        <v>2980379</v>
      </c>
      <c r="B2304">
        <v>48.27</v>
      </c>
      <c r="C2304" t="s">
        <v>5143</v>
      </c>
      <c r="D2304" t="s">
        <v>5144</v>
      </c>
      <c r="E2304" t="s">
        <v>23</v>
      </c>
      <c r="F2304" t="s">
        <v>44</v>
      </c>
      <c r="G2304">
        <v>2009</v>
      </c>
      <c r="H2304" t="s">
        <v>99</v>
      </c>
      <c r="K2304" t="s">
        <v>25</v>
      </c>
      <c r="L2304" t="s">
        <v>30</v>
      </c>
      <c r="M2304" t="b">
        <v>1</v>
      </c>
      <c r="N2304" t="s">
        <v>3656</v>
      </c>
      <c r="Q2304" t="b">
        <v>0</v>
      </c>
      <c r="S2304" t="str">
        <f>"9780310239529"</f>
        <v>9780310239529</v>
      </c>
      <c r="T2304" t="str">
        <f>"9780310862543"</f>
        <v>9780310862543</v>
      </c>
      <c r="U2304" t="b">
        <v>0</v>
      </c>
      <c r="W2304" t="b">
        <v>0</v>
      </c>
    </row>
    <row r="2305" spans="1:23" x14ac:dyDescent="0.3">
      <c r="A2305">
        <v>2980378</v>
      </c>
      <c r="B2305">
        <v>44.82</v>
      </c>
      <c r="C2305" t="s">
        <v>5145</v>
      </c>
      <c r="D2305" t="s">
        <v>5146</v>
      </c>
      <c r="E2305" t="s">
        <v>23</v>
      </c>
      <c r="F2305" t="s">
        <v>44</v>
      </c>
      <c r="G2305">
        <v>2010</v>
      </c>
      <c r="H2305" t="s">
        <v>56</v>
      </c>
      <c r="K2305" t="s">
        <v>25</v>
      </c>
      <c r="L2305" t="s">
        <v>30</v>
      </c>
      <c r="M2305" t="b">
        <v>1</v>
      </c>
      <c r="N2305" t="s">
        <v>5147</v>
      </c>
      <c r="Q2305" t="b">
        <v>0</v>
      </c>
      <c r="S2305" t="str">
        <f>"9780310320364"</f>
        <v>9780310320364</v>
      </c>
      <c r="T2305" t="str">
        <f>"9780310395744"</f>
        <v>9780310395744</v>
      </c>
      <c r="U2305" t="b">
        <v>0</v>
      </c>
      <c r="W2305" t="b">
        <v>0</v>
      </c>
    </row>
    <row r="2306" spans="1:23" x14ac:dyDescent="0.3">
      <c r="A2306">
        <v>2980377</v>
      </c>
      <c r="B2306">
        <v>71.03</v>
      </c>
      <c r="C2306" t="s">
        <v>5148</v>
      </c>
      <c r="D2306" t="s">
        <v>5149</v>
      </c>
      <c r="E2306" t="s">
        <v>23</v>
      </c>
      <c r="F2306" t="s">
        <v>44</v>
      </c>
      <c r="G2306">
        <v>2012</v>
      </c>
      <c r="H2306" t="s">
        <v>872</v>
      </c>
      <c r="K2306" t="s">
        <v>25</v>
      </c>
      <c r="L2306" t="s">
        <v>30</v>
      </c>
      <c r="M2306" t="b">
        <v>1</v>
      </c>
      <c r="N2306" t="s">
        <v>5150</v>
      </c>
      <c r="Q2306" t="b">
        <v>0</v>
      </c>
      <c r="S2306" t="str">
        <f>"9780310336143"</f>
        <v>9780310336143</v>
      </c>
      <c r="T2306" t="str">
        <f>"9780310336167"</f>
        <v>9780310336167</v>
      </c>
      <c r="U2306" t="b">
        <v>0</v>
      </c>
      <c r="W2306" t="b">
        <v>0</v>
      </c>
    </row>
    <row r="2307" spans="1:23" x14ac:dyDescent="0.3">
      <c r="A2307">
        <v>2980376</v>
      </c>
      <c r="B2307">
        <v>17.22</v>
      </c>
      <c r="C2307" t="s">
        <v>258</v>
      </c>
      <c r="D2307" t="s">
        <v>93</v>
      </c>
      <c r="E2307" t="s">
        <v>23</v>
      </c>
      <c r="F2307" t="s">
        <v>44</v>
      </c>
      <c r="G2307">
        <v>2009</v>
      </c>
      <c r="H2307" t="s">
        <v>144</v>
      </c>
      <c r="K2307" t="s">
        <v>25</v>
      </c>
      <c r="L2307" t="s">
        <v>30</v>
      </c>
      <c r="M2307" t="b">
        <v>1</v>
      </c>
      <c r="N2307" t="s">
        <v>44</v>
      </c>
      <c r="P2307" t="s">
        <v>1706</v>
      </c>
      <c r="Q2307" t="b">
        <v>0</v>
      </c>
      <c r="S2307" t="str">
        <f>"9780310716211"</f>
        <v>9780310716211</v>
      </c>
      <c r="T2307" t="str">
        <f>"9780310862574"</f>
        <v>9780310862574</v>
      </c>
      <c r="U2307" t="b">
        <v>0</v>
      </c>
      <c r="W2307" t="b">
        <v>0</v>
      </c>
    </row>
    <row r="2308" spans="1:23" x14ac:dyDescent="0.3">
      <c r="A2308">
        <v>2980375</v>
      </c>
      <c r="B2308">
        <v>65.52</v>
      </c>
      <c r="C2308" t="s">
        <v>5151</v>
      </c>
      <c r="D2308" t="s">
        <v>5152</v>
      </c>
      <c r="E2308" t="s">
        <v>23</v>
      </c>
      <c r="F2308" t="s">
        <v>44</v>
      </c>
      <c r="G2308">
        <v>2020</v>
      </c>
      <c r="H2308" t="s">
        <v>99</v>
      </c>
      <c r="I2308" t="s">
        <v>5153</v>
      </c>
      <c r="J2308" t="s">
        <v>5154</v>
      </c>
      <c r="K2308" t="s">
        <v>25</v>
      </c>
      <c r="L2308" t="s">
        <v>26</v>
      </c>
      <c r="M2308" t="b">
        <v>1</v>
      </c>
      <c r="N2308" t="s">
        <v>5155</v>
      </c>
      <c r="O2308" t="str">
        <f>"204/.4"</f>
        <v>204/.4</v>
      </c>
      <c r="Q2308" t="b">
        <v>0</v>
      </c>
      <c r="S2308" t="str">
        <f>"9780310106500"</f>
        <v>9780310106500</v>
      </c>
      <c r="T2308" t="str">
        <f>"9780310106517"</f>
        <v>9780310106517</v>
      </c>
      <c r="U2308" t="b">
        <v>0</v>
      </c>
      <c r="W2308" t="b">
        <v>0</v>
      </c>
    </row>
    <row r="2309" spans="1:23" x14ac:dyDescent="0.3">
      <c r="A2309">
        <v>2980374</v>
      </c>
      <c r="B2309">
        <v>44.82</v>
      </c>
      <c r="C2309" t="s">
        <v>5156</v>
      </c>
      <c r="E2309" t="s">
        <v>23</v>
      </c>
      <c r="F2309" t="s">
        <v>44</v>
      </c>
      <c r="G2309">
        <v>2014</v>
      </c>
      <c r="H2309" t="s">
        <v>5157</v>
      </c>
      <c r="K2309" t="s">
        <v>25</v>
      </c>
      <c r="L2309" t="s">
        <v>30</v>
      </c>
      <c r="M2309" t="b">
        <v>1</v>
      </c>
      <c r="N2309" t="s">
        <v>5158</v>
      </c>
      <c r="Q2309" t="b">
        <v>1</v>
      </c>
      <c r="S2309" t="str">
        <f>"9780310320357"</f>
        <v>9780310320357</v>
      </c>
      <c r="T2309" t="str">
        <f>"9780310412809"</f>
        <v>9780310412809</v>
      </c>
      <c r="U2309" t="b">
        <v>0</v>
      </c>
      <c r="W2309" t="b">
        <v>0</v>
      </c>
    </row>
    <row r="2310" spans="1:23" x14ac:dyDescent="0.3">
      <c r="A2310">
        <v>2980373</v>
      </c>
      <c r="B2310">
        <v>68.97</v>
      </c>
      <c r="C2310" t="s">
        <v>5159</v>
      </c>
      <c r="D2310" t="s">
        <v>5160</v>
      </c>
      <c r="E2310" t="s">
        <v>23</v>
      </c>
      <c r="F2310" t="s">
        <v>44</v>
      </c>
      <c r="G2310">
        <v>2017</v>
      </c>
      <c r="H2310" t="s">
        <v>58</v>
      </c>
      <c r="I2310" t="s">
        <v>5161</v>
      </c>
      <c r="J2310" t="s">
        <v>5162</v>
      </c>
      <c r="K2310" t="s">
        <v>25</v>
      </c>
      <c r="L2310" t="s">
        <v>26</v>
      </c>
      <c r="M2310" t="b">
        <v>1</v>
      </c>
      <c r="N2310" t="s">
        <v>5163</v>
      </c>
      <c r="O2310" t="str">
        <f>"155.2/6"</f>
        <v>155.2/6</v>
      </c>
      <c r="Q2310" t="b">
        <v>0</v>
      </c>
      <c r="S2310" t="str">
        <f>"9780310348276"</f>
        <v>9780310348276</v>
      </c>
      <c r="T2310" t="str">
        <f>"9780310348153"</f>
        <v>9780310348153</v>
      </c>
      <c r="U2310" t="b">
        <v>0</v>
      </c>
      <c r="W2310" t="b">
        <v>0</v>
      </c>
    </row>
    <row r="2311" spans="1:23" x14ac:dyDescent="0.3">
      <c r="A2311">
        <v>2980372</v>
      </c>
      <c r="B2311">
        <v>14.18</v>
      </c>
      <c r="C2311" t="s">
        <v>5164</v>
      </c>
      <c r="D2311" t="s">
        <v>4417</v>
      </c>
      <c r="E2311" t="s">
        <v>23</v>
      </c>
      <c r="F2311" t="s">
        <v>44</v>
      </c>
      <c r="G2311">
        <v>2019</v>
      </c>
      <c r="H2311" t="s">
        <v>772</v>
      </c>
      <c r="K2311" t="s">
        <v>25</v>
      </c>
      <c r="L2311" t="s">
        <v>30</v>
      </c>
      <c r="M2311" t="b">
        <v>1</v>
      </c>
      <c r="N2311" t="s">
        <v>776</v>
      </c>
      <c r="Q2311" t="b">
        <v>1</v>
      </c>
      <c r="T2311" t="str">
        <f>"9780310354338"</f>
        <v>9780310354338</v>
      </c>
      <c r="U2311" t="b">
        <v>0</v>
      </c>
      <c r="W2311" t="b">
        <v>0</v>
      </c>
    </row>
    <row r="2312" spans="1:23" x14ac:dyDescent="0.3">
      <c r="A2312">
        <v>2980371</v>
      </c>
      <c r="B2312">
        <v>42.61</v>
      </c>
      <c r="C2312" t="s">
        <v>5165</v>
      </c>
      <c r="D2312" t="s">
        <v>5166</v>
      </c>
      <c r="E2312" t="s">
        <v>23</v>
      </c>
      <c r="F2312" t="s">
        <v>44</v>
      </c>
      <c r="G2312">
        <v>2008</v>
      </c>
      <c r="H2312" t="s">
        <v>736</v>
      </c>
      <c r="K2312" t="s">
        <v>25</v>
      </c>
      <c r="L2312" t="s">
        <v>30</v>
      </c>
      <c r="M2312" t="b">
        <v>1</v>
      </c>
      <c r="N2312" t="s">
        <v>3315</v>
      </c>
      <c r="Q2312" t="b">
        <v>0</v>
      </c>
      <c r="T2312" t="str">
        <f>"9780310309055"</f>
        <v>9780310309055</v>
      </c>
      <c r="U2312" t="b">
        <v>0</v>
      </c>
      <c r="W2312" t="b">
        <v>0</v>
      </c>
    </row>
    <row r="2313" spans="1:23" x14ac:dyDescent="0.3">
      <c r="A2313">
        <v>2980370</v>
      </c>
      <c r="B2313">
        <v>42.61</v>
      </c>
      <c r="C2313" t="s">
        <v>5167</v>
      </c>
      <c r="D2313" t="s">
        <v>5168</v>
      </c>
      <c r="E2313" t="s">
        <v>23</v>
      </c>
      <c r="F2313" t="s">
        <v>44</v>
      </c>
      <c r="G2313">
        <v>2011</v>
      </c>
      <c r="H2313" t="s">
        <v>132</v>
      </c>
      <c r="K2313" t="s">
        <v>25</v>
      </c>
      <c r="L2313" t="s">
        <v>26</v>
      </c>
      <c r="M2313" t="b">
        <v>1</v>
      </c>
      <c r="N2313" t="s">
        <v>3040</v>
      </c>
      <c r="Q2313" t="b">
        <v>0</v>
      </c>
      <c r="T2313" t="str">
        <f>"9780310333661"</f>
        <v>9780310333661</v>
      </c>
      <c r="U2313" t="b">
        <v>0</v>
      </c>
      <c r="W2313" t="b">
        <v>0</v>
      </c>
    </row>
    <row r="2314" spans="1:23" x14ac:dyDescent="0.3">
      <c r="A2314">
        <v>2980369</v>
      </c>
      <c r="B2314">
        <v>55.17</v>
      </c>
      <c r="C2314" t="s">
        <v>5169</v>
      </c>
      <c r="D2314" t="s">
        <v>5170</v>
      </c>
      <c r="E2314" t="s">
        <v>23</v>
      </c>
      <c r="F2314" t="s">
        <v>44</v>
      </c>
      <c r="G2314">
        <v>2016</v>
      </c>
      <c r="H2314" t="s">
        <v>58</v>
      </c>
      <c r="K2314" t="s">
        <v>25</v>
      </c>
      <c r="L2314" t="s">
        <v>26</v>
      </c>
      <c r="M2314" t="b">
        <v>1</v>
      </c>
      <c r="N2314" t="s">
        <v>5171</v>
      </c>
      <c r="Q2314" t="b">
        <v>0</v>
      </c>
      <c r="S2314" t="str">
        <f>"9780310341796"</f>
        <v>9780310341796</v>
      </c>
      <c r="T2314" t="str">
        <f>"9780310341789"</f>
        <v>9780310341789</v>
      </c>
      <c r="U2314" t="b">
        <v>0</v>
      </c>
      <c r="W2314" t="b">
        <v>0</v>
      </c>
    </row>
    <row r="2315" spans="1:23" x14ac:dyDescent="0.3">
      <c r="A2315">
        <v>2980368</v>
      </c>
      <c r="B2315">
        <v>58.62</v>
      </c>
      <c r="C2315" t="s">
        <v>429</v>
      </c>
      <c r="D2315" t="s">
        <v>5172</v>
      </c>
      <c r="E2315" t="s">
        <v>23</v>
      </c>
      <c r="F2315" t="s">
        <v>44</v>
      </c>
      <c r="G2315">
        <v>2017</v>
      </c>
      <c r="H2315" t="s">
        <v>62</v>
      </c>
      <c r="K2315" t="s">
        <v>25</v>
      </c>
      <c r="L2315" t="s">
        <v>26</v>
      </c>
      <c r="M2315" t="b">
        <v>1</v>
      </c>
      <c r="N2315" t="s">
        <v>5173</v>
      </c>
      <c r="Q2315" t="b">
        <v>0</v>
      </c>
      <c r="S2315" t="str">
        <f>"9780310339809"</f>
        <v>9780310339809</v>
      </c>
      <c r="T2315" t="str">
        <f>"9780310339816"</f>
        <v>9780310339816</v>
      </c>
      <c r="U2315" t="b">
        <v>0</v>
      </c>
      <c r="W2315" t="b">
        <v>0</v>
      </c>
    </row>
    <row r="2316" spans="1:23" x14ac:dyDescent="0.3">
      <c r="A2316">
        <v>2980367</v>
      </c>
      <c r="B2316">
        <v>44.82</v>
      </c>
      <c r="C2316" t="s">
        <v>5174</v>
      </c>
      <c r="E2316" t="s">
        <v>23</v>
      </c>
      <c r="F2316" t="s">
        <v>44</v>
      </c>
      <c r="G2316">
        <v>2011</v>
      </c>
      <c r="H2316" t="s">
        <v>3857</v>
      </c>
      <c r="K2316" t="s">
        <v>25</v>
      </c>
      <c r="L2316" t="s">
        <v>30</v>
      </c>
      <c r="M2316" t="b">
        <v>1</v>
      </c>
      <c r="N2316" t="s">
        <v>776</v>
      </c>
      <c r="Q2316" t="b">
        <v>0</v>
      </c>
      <c r="S2316" t="str">
        <f>"9780310719816"</f>
        <v>9780310719816</v>
      </c>
      <c r="T2316" t="str">
        <f>"9780310577867"</f>
        <v>9780310577867</v>
      </c>
      <c r="U2316" t="b">
        <v>0</v>
      </c>
      <c r="W2316" t="b">
        <v>0</v>
      </c>
    </row>
    <row r="2317" spans="1:23" x14ac:dyDescent="0.3">
      <c r="A2317">
        <v>2980366</v>
      </c>
      <c r="B2317">
        <v>86.22</v>
      </c>
      <c r="C2317" t="s">
        <v>5175</v>
      </c>
      <c r="D2317" t="s">
        <v>5176</v>
      </c>
      <c r="E2317" t="s">
        <v>23</v>
      </c>
      <c r="F2317" t="s">
        <v>44</v>
      </c>
      <c r="G2317">
        <v>2019</v>
      </c>
      <c r="H2317" t="s">
        <v>5177</v>
      </c>
      <c r="K2317" t="s">
        <v>25</v>
      </c>
      <c r="L2317" t="s">
        <v>26</v>
      </c>
      <c r="M2317" t="b">
        <v>1</v>
      </c>
      <c r="N2317" t="s">
        <v>5178</v>
      </c>
      <c r="Q2317" t="b">
        <v>0</v>
      </c>
      <c r="S2317" t="str">
        <f>"9780310092063"</f>
        <v>9780310092063</v>
      </c>
      <c r="T2317" t="str">
        <f>"9780310092186"</f>
        <v>9780310092186</v>
      </c>
      <c r="U2317" t="b">
        <v>0</v>
      </c>
      <c r="W2317" t="b">
        <v>0</v>
      </c>
    </row>
    <row r="2318" spans="1:23" x14ac:dyDescent="0.3">
      <c r="A2318">
        <v>2980365</v>
      </c>
      <c r="B2318">
        <v>10.32</v>
      </c>
      <c r="C2318" t="s">
        <v>5179</v>
      </c>
      <c r="E2318" t="s">
        <v>23</v>
      </c>
      <c r="F2318" t="s">
        <v>44</v>
      </c>
      <c r="G2318">
        <v>2017</v>
      </c>
      <c r="H2318" t="s">
        <v>99</v>
      </c>
      <c r="K2318" t="s">
        <v>25</v>
      </c>
      <c r="L2318" t="s">
        <v>26</v>
      </c>
      <c r="M2318" t="b">
        <v>1</v>
      </c>
      <c r="N2318" t="s">
        <v>915</v>
      </c>
      <c r="P2318" t="s">
        <v>5180</v>
      </c>
      <c r="Q2318" t="b">
        <v>0</v>
      </c>
      <c r="S2318" t="str">
        <f>"9780310089827"</f>
        <v>9780310089827</v>
      </c>
      <c r="T2318" t="str">
        <f>"9780310089841"</f>
        <v>9780310089841</v>
      </c>
      <c r="U2318" t="b">
        <v>0</v>
      </c>
      <c r="W2318" t="b">
        <v>0</v>
      </c>
    </row>
    <row r="2319" spans="1:23" x14ac:dyDescent="0.3">
      <c r="A2319">
        <v>2980364</v>
      </c>
      <c r="B2319">
        <v>68.97</v>
      </c>
      <c r="C2319" t="s">
        <v>5181</v>
      </c>
      <c r="D2319" t="s">
        <v>5182</v>
      </c>
      <c r="E2319" t="s">
        <v>23</v>
      </c>
      <c r="F2319" t="s">
        <v>44</v>
      </c>
      <c r="G2319">
        <v>2020</v>
      </c>
      <c r="H2319" t="s">
        <v>706</v>
      </c>
      <c r="K2319" t="s">
        <v>25</v>
      </c>
      <c r="L2319" t="s">
        <v>145</v>
      </c>
      <c r="M2319" t="b">
        <v>1</v>
      </c>
      <c r="N2319" t="s">
        <v>5183</v>
      </c>
      <c r="Q2319" t="b">
        <v>0</v>
      </c>
      <c r="S2319" t="str">
        <f>"9780310112891"</f>
        <v>9780310112891</v>
      </c>
      <c r="T2319" t="str">
        <f>"9780310112907"</f>
        <v>9780310112907</v>
      </c>
      <c r="U2319" t="b">
        <v>0</v>
      </c>
      <c r="W2319" t="b">
        <v>0</v>
      </c>
    </row>
    <row r="2320" spans="1:23" x14ac:dyDescent="0.3">
      <c r="A2320">
        <v>2980363</v>
      </c>
      <c r="B2320">
        <v>58.62</v>
      </c>
      <c r="C2320" t="s">
        <v>5184</v>
      </c>
      <c r="D2320" t="s">
        <v>1276</v>
      </c>
      <c r="E2320" t="s">
        <v>23</v>
      </c>
      <c r="F2320" t="s">
        <v>44</v>
      </c>
      <c r="G2320">
        <v>2009</v>
      </c>
      <c r="H2320" t="s">
        <v>50</v>
      </c>
      <c r="K2320" t="s">
        <v>25</v>
      </c>
      <c r="L2320" t="s">
        <v>30</v>
      </c>
      <c r="M2320" t="b">
        <v>1</v>
      </c>
      <c r="N2320" t="s">
        <v>1277</v>
      </c>
      <c r="P2320" t="s">
        <v>1274</v>
      </c>
      <c r="Q2320" t="b">
        <v>0</v>
      </c>
      <c r="S2320" t="str">
        <f>"9780310285526"</f>
        <v>9780310285526</v>
      </c>
      <c r="T2320" t="str">
        <f>"9780310867340"</f>
        <v>9780310867340</v>
      </c>
      <c r="U2320" t="b">
        <v>0</v>
      </c>
      <c r="W2320" t="b">
        <v>0</v>
      </c>
    </row>
    <row r="2321" spans="1:23" x14ac:dyDescent="0.3">
      <c r="A2321">
        <v>2980362</v>
      </c>
      <c r="B2321">
        <v>14.18</v>
      </c>
      <c r="C2321" t="s">
        <v>5185</v>
      </c>
      <c r="D2321" t="s">
        <v>5132</v>
      </c>
      <c r="E2321" t="s">
        <v>23</v>
      </c>
      <c r="F2321" t="s">
        <v>44</v>
      </c>
      <c r="G2321">
        <v>2020</v>
      </c>
      <c r="H2321" t="s">
        <v>772</v>
      </c>
      <c r="K2321" t="s">
        <v>25</v>
      </c>
      <c r="L2321" t="s">
        <v>30</v>
      </c>
      <c r="M2321" t="b">
        <v>1</v>
      </c>
      <c r="N2321" t="s">
        <v>742</v>
      </c>
      <c r="Q2321" t="b">
        <v>1</v>
      </c>
      <c r="T2321" t="str">
        <f>"9780310357933"</f>
        <v>9780310357933</v>
      </c>
      <c r="U2321" t="b">
        <v>0</v>
      </c>
      <c r="W2321" t="b">
        <v>0</v>
      </c>
    </row>
    <row r="2322" spans="1:23" x14ac:dyDescent="0.3">
      <c r="A2322">
        <v>2980361</v>
      </c>
      <c r="B2322">
        <v>71.03</v>
      </c>
      <c r="C2322" t="s">
        <v>5186</v>
      </c>
      <c r="D2322" t="s">
        <v>5187</v>
      </c>
      <c r="E2322" t="s">
        <v>23</v>
      </c>
      <c r="F2322" t="s">
        <v>44</v>
      </c>
      <c r="G2322">
        <v>2019</v>
      </c>
      <c r="H2322" t="s">
        <v>728</v>
      </c>
      <c r="K2322" t="s">
        <v>25</v>
      </c>
      <c r="L2322" t="s">
        <v>30</v>
      </c>
      <c r="M2322" t="b">
        <v>1</v>
      </c>
      <c r="N2322" t="s">
        <v>3913</v>
      </c>
      <c r="P2322" t="s">
        <v>3914</v>
      </c>
      <c r="Q2322" t="b">
        <v>1</v>
      </c>
      <c r="T2322" t="str">
        <f>"9780310357520"</f>
        <v>9780310357520</v>
      </c>
      <c r="U2322" t="b">
        <v>0</v>
      </c>
      <c r="W2322" t="b">
        <v>0</v>
      </c>
    </row>
    <row r="2323" spans="1:23" x14ac:dyDescent="0.3">
      <c r="A2323">
        <v>2980360</v>
      </c>
      <c r="B2323">
        <v>51.72</v>
      </c>
      <c r="C2323" t="s">
        <v>5188</v>
      </c>
      <c r="D2323" t="s">
        <v>5189</v>
      </c>
      <c r="E2323" t="s">
        <v>23</v>
      </c>
      <c r="F2323" t="s">
        <v>44</v>
      </c>
      <c r="G2323">
        <v>2009</v>
      </c>
      <c r="H2323" t="s">
        <v>78</v>
      </c>
      <c r="K2323" t="s">
        <v>25</v>
      </c>
      <c r="L2323" t="s">
        <v>30</v>
      </c>
      <c r="M2323" t="b">
        <v>1</v>
      </c>
      <c r="N2323" t="s">
        <v>3409</v>
      </c>
      <c r="Q2323" t="b">
        <v>0</v>
      </c>
      <c r="S2323" t="str">
        <f>"9780310346739"</f>
        <v>9780310346739</v>
      </c>
      <c r="T2323" t="str">
        <f>"9780310861133"</f>
        <v>9780310861133</v>
      </c>
      <c r="U2323" t="b">
        <v>0</v>
      </c>
      <c r="W2323" t="b">
        <v>0</v>
      </c>
    </row>
    <row r="2324" spans="1:23" x14ac:dyDescent="0.3">
      <c r="A2324">
        <v>2980359</v>
      </c>
      <c r="B2324">
        <v>31.95</v>
      </c>
      <c r="C2324" t="s">
        <v>5190</v>
      </c>
      <c r="E2324" t="s">
        <v>23</v>
      </c>
      <c r="F2324" t="s">
        <v>44</v>
      </c>
      <c r="G2324">
        <v>2009</v>
      </c>
      <c r="H2324" t="s">
        <v>66</v>
      </c>
      <c r="K2324" t="s">
        <v>25</v>
      </c>
      <c r="L2324" t="s">
        <v>30</v>
      </c>
      <c r="M2324" t="b">
        <v>1</v>
      </c>
      <c r="N2324" t="s">
        <v>3610</v>
      </c>
      <c r="P2324" t="s">
        <v>3611</v>
      </c>
      <c r="Q2324" t="b">
        <v>1</v>
      </c>
      <c r="T2324" t="str">
        <f>"9780310864318"</f>
        <v>9780310864318</v>
      </c>
      <c r="U2324" t="b">
        <v>0</v>
      </c>
      <c r="W2324" t="b">
        <v>0</v>
      </c>
    </row>
    <row r="2325" spans="1:23" x14ac:dyDescent="0.3">
      <c r="A2325">
        <v>2980358</v>
      </c>
      <c r="B2325">
        <v>14.18</v>
      </c>
      <c r="C2325" t="s">
        <v>5191</v>
      </c>
      <c r="D2325" t="s">
        <v>5132</v>
      </c>
      <c r="E2325" t="s">
        <v>23</v>
      </c>
      <c r="F2325" t="s">
        <v>44</v>
      </c>
      <c r="G2325">
        <v>2020</v>
      </c>
      <c r="H2325" t="s">
        <v>772</v>
      </c>
      <c r="K2325" t="s">
        <v>25</v>
      </c>
      <c r="L2325" t="s">
        <v>30</v>
      </c>
      <c r="M2325" t="b">
        <v>1</v>
      </c>
      <c r="N2325" t="s">
        <v>773</v>
      </c>
      <c r="Q2325" t="b">
        <v>1</v>
      </c>
      <c r="T2325" t="str">
        <f>"9780310357940"</f>
        <v>9780310357940</v>
      </c>
      <c r="U2325" t="b">
        <v>0</v>
      </c>
      <c r="W2325" t="b">
        <v>0</v>
      </c>
    </row>
    <row r="2326" spans="1:23" x14ac:dyDescent="0.3">
      <c r="A2326">
        <v>2980357</v>
      </c>
      <c r="B2326">
        <v>65.52</v>
      </c>
      <c r="C2326" t="s">
        <v>5192</v>
      </c>
      <c r="D2326" t="s">
        <v>5193</v>
      </c>
      <c r="E2326" t="s">
        <v>23</v>
      </c>
      <c r="F2326" t="s">
        <v>44</v>
      </c>
      <c r="G2326">
        <v>2020</v>
      </c>
      <c r="H2326" t="s">
        <v>756</v>
      </c>
      <c r="I2326" t="s">
        <v>5194</v>
      </c>
      <c r="J2326" t="s">
        <v>895</v>
      </c>
      <c r="K2326" t="s">
        <v>25</v>
      </c>
      <c r="L2326" t="s">
        <v>26</v>
      </c>
      <c r="M2326" t="b">
        <v>1</v>
      </c>
      <c r="N2326" t="s">
        <v>5195</v>
      </c>
      <c r="O2326" t="str">
        <f>"269.2"</f>
        <v>269.2</v>
      </c>
      <c r="Q2326" t="b">
        <v>0</v>
      </c>
      <c r="S2326" t="str">
        <f>"9780310112693"</f>
        <v>9780310112693</v>
      </c>
      <c r="T2326" t="str">
        <f>"9780310112716"</f>
        <v>9780310112716</v>
      </c>
      <c r="U2326" t="b">
        <v>0</v>
      </c>
      <c r="W2326" t="b">
        <v>0</v>
      </c>
    </row>
    <row r="2327" spans="1:23" x14ac:dyDescent="0.3">
      <c r="A2327">
        <v>2980356</v>
      </c>
      <c r="B2327">
        <v>42.61</v>
      </c>
      <c r="C2327" t="s">
        <v>5196</v>
      </c>
      <c r="D2327" t="s">
        <v>5197</v>
      </c>
      <c r="E2327" t="s">
        <v>23</v>
      </c>
      <c r="F2327" t="s">
        <v>44</v>
      </c>
      <c r="G2327">
        <v>2011</v>
      </c>
      <c r="H2327" t="s">
        <v>68</v>
      </c>
      <c r="K2327" t="s">
        <v>25</v>
      </c>
      <c r="L2327" t="s">
        <v>30</v>
      </c>
      <c r="M2327" t="b">
        <v>1</v>
      </c>
      <c r="N2327" t="s">
        <v>3788</v>
      </c>
      <c r="Q2327" t="b">
        <v>0</v>
      </c>
      <c r="S2327" t="str">
        <f>"9780310293330"</f>
        <v>9780310293330</v>
      </c>
      <c r="T2327" t="str">
        <f>"9780310562382"</f>
        <v>9780310562382</v>
      </c>
      <c r="U2327" t="b">
        <v>0</v>
      </c>
      <c r="W2327" t="b">
        <v>0</v>
      </c>
    </row>
    <row r="2328" spans="1:23" x14ac:dyDescent="0.3">
      <c r="A2328">
        <v>2980355</v>
      </c>
      <c r="B2328">
        <v>14.18</v>
      </c>
      <c r="C2328" t="s">
        <v>5198</v>
      </c>
      <c r="D2328" t="s">
        <v>5137</v>
      </c>
      <c r="E2328" t="s">
        <v>23</v>
      </c>
      <c r="F2328" t="s">
        <v>44</v>
      </c>
      <c r="G2328">
        <v>2015</v>
      </c>
      <c r="H2328" t="s">
        <v>107</v>
      </c>
      <c r="K2328" t="s">
        <v>25</v>
      </c>
      <c r="L2328" t="s">
        <v>30</v>
      </c>
      <c r="M2328" t="b">
        <v>1</v>
      </c>
      <c r="N2328" t="s">
        <v>44</v>
      </c>
      <c r="Q2328" t="b">
        <v>0</v>
      </c>
      <c r="T2328" t="str">
        <f>"9780310344179"</f>
        <v>9780310344179</v>
      </c>
      <c r="U2328" t="b">
        <v>0</v>
      </c>
      <c r="W2328" t="b">
        <v>0</v>
      </c>
    </row>
    <row r="2329" spans="1:23" x14ac:dyDescent="0.3">
      <c r="A2329">
        <v>2980354</v>
      </c>
      <c r="B2329">
        <v>35.5</v>
      </c>
      <c r="C2329" t="s">
        <v>5199</v>
      </c>
      <c r="E2329" t="s">
        <v>23</v>
      </c>
      <c r="F2329" t="s">
        <v>44</v>
      </c>
      <c r="G2329">
        <v>2010</v>
      </c>
      <c r="H2329" t="s">
        <v>5200</v>
      </c>
      <c r="K2329" t="s">
        <v>25</v>
      </c>
      <c r="L2329" t="s">
        <v>30</v>
      </c>
      <c r="M2329" t="b">
        <v>1</v>
      </c>
      <c r="N2329" t="s">
        <v>408</v>
      </c>
      <c r="P2329" t="s">
        <v>3599</v>
      </c>
      <c r="Q2329" t="b">
        <v>0</v>
      </c>
      <c r="T2329" t="str">
        <f>"9780310429494"</f>
        <v>9780310429494</v>
      </c>
      <c r="U2329" t="b">
        <v>0</v>
      </c>
      <c r="W2329" t="b">
        <v>0</v>
      </c>
    </row>
    <row r="2330" spans="1:23" x14ac:dyDescent="0.3">
      <c r="A2330">
        <v>2980353</v>
      </c>
      <c r="B2330">
        <v>88.8</v>
      </c>
      <c r="C2330" t="s">
        <v>5201</v>
      </c>
      <c r="D2330" t="s">
        <v>2631</v>
      </c>
      <c r="E2330" t="s">
        <v>23</v>
      </c>
      <c r="F2330" t="s">
        <v>44</v>
      </c>
      <c r="G2330">
        <v>2010</v>
      </c>
      <c r="H2330" t="s">
        <v>67</v>
      </c>
      <c r="K2330" t="s">
        <v>25</v>
      </c>
      <c r="L2330" t="s">
        <v>30</v>
      </c>
      <c r="M2330" t="b">
        <v>1</v>
      </c>
      <c r="N2330" t="s">
        <v>2632</v>
      </c>
      <c r="P2330" t="s">
        <v>2633</v>
      </c>
      <c r="Q2330" t="b">
        <v>1</v>
      </c>
      <c r="T2330" t="str">
        <f>"9780310326311"</f>
        <v>9780310326311</v>
      </c>
      <c r="U2330" t="b">
        <v>0</v>
      </c>
      <c r="W2330" t="b">
        <v>0</v>
      </c>
    </row>
    <row r="2331" spans="1:23" x14ac:dyDescent="0.3">
      <c r="A2331">
        <v>2980352</v>
      </c>
      <c r="B2331">
        <v>51.72</v>
      </c>
      <c r="C2331" t="s">
        <v>5202</v>
      </c>
      <c r="D2331" t="s">
        <v>5203</v>
      </c>
      <c r="E2331" t="s">
        <v>23</v>
      </c>
      <c r="F2331" t="s">
        <v>44</v>
      </c>
      <c r="G2331">
        <v>2010</v>
      </c>
      <c r="H2331" t="s">
        <v>58</v>
      </c>
      <c r="K2331" t="s">
        <v>25</v>
      </c>
      <c r="L2331" t="s">
        <v>30</v>
      </c>
      <c r="M2331" t="b">
        <v>1</v>
      </c>
      <c r="N2331" t="s">
        <v>5204</v>
      </c>
      <c r="Q2331" t="b">
        <v>0</v>
      </c>
      <c r="S2331" t="str">
        <f>"9780310326649"</f>
        <v>9780310326649</v>
      </c>
      <c r="T2331" t="str">
        <f>"9780310578079"</f>
        <v>9780310578079</v>
      </c>
      <c r="U2331" t="b">
        <v>0</v>
      </c>
      <c r="W2331" t="b">
        <v>0</v>
      </c>
    </row>
    <row r="2332" spans="1:23" x14ac:dyDescent="0.3">
      <c r="A2332">
        <v>2980351</v>
      </c>
      <c r="B2332">
        <v>46.16</v>
      </c>
      <c r="C2332" t="s">
        <v>5205</v>
      </c>
      <c r="D2332" t="s">
        <v>5206</v>
      </c>
      <c r="E2332" t="s">
        <v>23</v>
      </c>
      <c r="F2332" t="s">
        <v>44</v>
      </c>
      <c r="G2332">
        <v>2009</v>
      </c>
      <c r="H2332" t="s">
        <v>2079</v>
      </c>
      <c r="K2332" t="s">
        <v>25</v>
      </c>
      <c r="L2332" t="s">
        <v>30</v>
      </c>
      <c r="M2332" t="b">
        <v>1</v>
      </c>
      <c r="N2332" t="s">
        <v>3788</v>
      </c>
      <c r="Q2332" t="b">
        <v>0</v>
      </c>
      <c r="T2332" t="str">
        <f>"9780310565468"</f>
        <v>9780310565468</v>
      </c>
      <c r="U2332" t="b">
        <v>0</v>
      </c>
      <c r="W2332" t="b">
        <v>0</v>
      </c>
    </row>
    <row r="2333" spans="1:23" x14ac:dyDescent="0.3">
      <c r="A2333">
        <v>2980350</v>
      </c>
      <c r="B2333">
        <v>44.82</v>
      </c>
      <c r="C2333" t="s">
        <v>5207</v>
      </c>
      <c r="D2333" t="s">
        <v>5208</v>
      </c>
      <c r="E2333" t="s">
        <v>23</v>
      </c>
      <c r="F2333" t="s">
        <v>44</v>
      </c>
      <c r="G2333">
        <v>2015</v>
      </c>
      <c r="H2333" t="s">
        <v>1212</v>
      </c>
      <c r="K2333" t="s">
        <v>25</v>
      </c>
      <c r="L2333" t="s">
        <v>26</v>
      </c>
      <c r="M2333" t="b">
        <v>1</v>
      </c>
      <c r="N2333" t="s">
        <v>44</v>
      </c>
      <c r="P2333" t="s">
        <v>2785</v>
      </c>
      <c r="Q2333" t="b">
        <v>1</v>
      </c>
      <c r="S2333" t="str">
        <f>"9780310395881"</f>
        <v>9780310395881</v>
      </c>
      <c r="T2333" t="str">
        <f>"9780310396017"</f>
        <v>9780310396017</v>
      </c>
      <c r="U2333" t="b">
        <v>0</v>
      </c>
      <c r="W2333" t="b">
        <v>0</v>
      </c>
    </row>
    <row r="2334" spans="1:23" x14ac:dyDescent="0.3">
      <c r="A2334">
        <v>2980349</v>
      </c>
      <c r="B2334">
        <v>44.82</v>
      </c>
      <c r="C2334" t="s">
        <v>5209</v>
      </c>
      <c r="E2334" t="s">
        <v>23</v>
      </c>
      <c r="F2334" t="s">
        <v>44</v>
      </c>
      <c r="G2334">
        <v>2016</v>
      </c>
      <c r="H2334" t="s">
        <v>728</v>
      </c>
      <c r="K2334" t="s">
        <v>25</v>
      </c>
      <c r="L2334" t="s">
        <v>26</v>
      </c>
      <c r="M2334" t="b">
        <v>1</v>
      </c>
      <c r="N2334" t="s">
        <v>3580</v>
      </c>
      <c r="P2334" t="s">
        <v>3581</v>
      </c>
      <c r="Q2334" t="b">
        <v>1</v>
      </c>
      <c r="S2334" t="str">
        <f>"9780310339724"</f>
        <v>9780310339724</v>
      </c>
      <c r="T2334" t="str">
        <f>"9780310340133"</f>
        <v>9780310340133</v>
      </c>
      <c r="U2334" t="b">
        <v>0</v>
      </c>
      <c r="W2334" t="b">
        <v>0</v>
      </c>
    </row>
    <row r="2335" spans="1:23" x14ac:dyDescent="0.3">
      <c r="A2335">
        <v>2980348</v>
      </c>
      <c r="B2335">
        <v>81.7</v>
      </c>
      <c r="C2335" t="s">
        <v>5210</v>
      </c>
      <c r="D2335" t="s">
        <v>5211</v>
      </c>
      <c r="E2335" t="s">
        <v>23</v>
      </c>
      <c r="F2335" t="s">
        <v>44</v>
      </c>
      <c r="G2335">
        <v>2014</v>
      </c>
      <c r="H2335" t="s">
        <v>728</v>
      </c>
      <c r="K2335" t="s">
        <v>25</v>
      </c>
      <c r="L2335" t="s">
        <v>30</v>
      </c>
      <c r="M2335" t="b">
        <v>1</v>
      </c>
      <c r="N2335" t="s">
        <v>776</v>
      </c>
      <c r="P2335" t="s">
        <v>3326</v>
      </c>
      <c r="Q2335" t="b">
        <v>1</v>
      </c>
      <c r="T2335" t="str">
        <f>"9780310342878"</f>
        <v>9780310342878</v>
      </c>
      <c r="U2335" t="b">
        <v>0</v>
      </c>
      <c r="W2335" t="b">
        <v>0</v>
      </c>
    </row>
    <row r="2336" spans="1:23" x14ac:dyDescent="0.3">
      <c r="A2336">
        <v>2980347</v>
      </c>
      <c r="B2336">
        <v>49.71</v>
      </c>
      <c r="C2336" t="s">
        <v>5212</v>
      </c>
      <c r="E2336" t="s">
        <v>23</v>
      </c>
      <c r="F2336" t="s">
        <v>44</v>
      </c>
      <c r="G2336">
        <v>2009</v>
      </c>
      <c r="H2336" t="s">
        <v>728</v>
      </c>
      <c r="K2336" t="s">
        <v>25</v>
      </c>
      <c r="L2336" t="s">
        <v>30</v>
      </c>
      <c r="M2336" t="b">
        <v>1</v>
      </c>
      <c r="N2336" t="s">
        <v>3110</v>
      </c>
      <c r="Q2336" t="b">
        <v>1</v>
      </c>
      <c r="T2336" t="str">
        <f>"9780310566618"</f>
        <v>9780310566618</v>
      </c>
      <c r="U2336" t="b">
        <v>0</v>
      </c>
      <c r="W2336" t="b">
        <v>0</v>
      </c>
    </row>
    <row r="2337" spans="1:23" x14ac:dyDescent="0.3">
      <c r="A2337">
        <v>2980346</v>
      </c>
      <c r="B2337">
        <v>42.61</v>
      </c>
      <c r="C2337" t="s">
        <v>5213</v>
      </c>
      <c r="D2337" t="s">
        <v>5214</v>
      </c>
      <c r="E2337" t="s">
        <v>23</v>
      </c>
      <c r="F2337" t="s">
        <v>44</v>
      </c>
      <c r="G2337">
        <v>2014</v>
      </c>
      <c r="H2337" t="s">
        <v>99</v>
      </c>
      <c r="K2337" t="s">
        <v>25</v>
      </c>
      <c r="L2337" t="s">
        <v>30</v>
      </c>
      <c r="M2337" t="b">
        <v>1</v>
      </c>
      <c r="N2337" t="s">
        <v>918</v>
      </c>
      <c r="Q2337" t="b">
        <v>0</v>
      </c>
      <c r="S2337" t="str">
        <f>"9780310337959"</f>
        <v>9780310337959</v>
      </c>
      <c r="T2337" t="str">
        <f>"9780310337935"</f>
        <v>9780310337935</v>
      </c>
      <c r="U2337" t="b">
        <v>0</v>
      </c>
      <c r="W2337" t="b">
        <v>0</v>
      </c>
    </row>
    <row r="2338" spans="1:23" x14ac:dyDescent="0.3">
      <c r="A2338">
        <v>2980345</v>
      </c>
      <c r="B2338">
        <v>44.82</v>
      </c>
      <c r="C2338" t="s">
        <v>5215</v>
      </c>
      <c r="D2338" t="s">
        <v>5216</v>
      </c>
      <c r="E2338" t="s">
        <v>23</v>
      </c>
      <c r="F2338" t="s">
        <v>44</v>
      </c>
      <c r="G2338">
        <v>2011</v>
      </c>
      <c r="H2338" t="s">
        <v>119</v>
      </c>
      <c r="K2338" t="s">
        <v>25</v>
      </c>
      <c r="L2338" t="s">
        <v>30</v>
      </c>
      <c r="M2338" t="b">
        <v>1</v>
      </c>
      <c r="N2338" t="s">
        <v>5217</v>
      </c>
      <c r="Q2338" t="b">
        <v>0</v>
      </c>
      <c r="S2338" t="str">
        <f>"9780310219927"</f>
        <v>9780310219927</v>
      </c>
      <c r="T2338" t="str">
        <f>"9780310862802"</f>
        <v>9780310862802</v>
      </c>
      <c r="U2338" t="b">
        <v>0</v>
      </c>
      <c r="W2338" t="b">
        <v>0</v>
      </c>
    </row>
    <row r="2339" spans="1:23" x14ac:dyDescent="0.3">
      <c r="A2339">
        <v>2980344</v>
      </c>
      <c r="B2339">
        <v>27.57</v>
      </c>
      <c r="C2339" t="s">
        <v>5218</v>
      </c>
      <c r="E2339" t="s">
        <v>23</v>
      </c>
      <c r="F2339" t="s">
        <v>44</v>
      </c>
      <c r="G2339">
        <v>2011</v>
      </c>
      <c r="H2339" t="s">
        <v>717</v>
      </c>
      <c r="K2339" t="s">
        <v>25</v>
      </c>
      <c r="L2339" t="s">
        <v>30</v>
      </c>
      <c r="M2339" t="b">
        <v>1</v>
      </c>
      <c r="N2339" t="s">
        <v>116</v>
      </c>
      <c r="P2339" t="s">
        <v>1780</v>
      </c>
      <c r="Q2339" t="b">
        <v>1</v>
      </c>
      <c r="S2339" t="str">
        <f>"9780310721932"</f>
        <v>9780310721932</v>
      </c>
      <c r="T2339" t="str">
        <f>"9780310410171"</f>
        <v>9780310410171</v>
      </c>
      <c r="U2339" t="b">
        <v>0</v>
      </c>
      <c r="W2339" t="b">
        <v>0</v>
      </c>
    </row>
    <row r="2340" spans="1:23" x14ac:dyDescent="0.3">
      <c r="A2340">
        <v>2980343</v>
      </c>
      <c r="B2340">
        <v>39.049999999999997</v>
      </c>
      <c r="C2340" t="s">
        <v>5219</v>
      </c>
      <c r="E2340" t="s">
        <v>23</v>
      </c>
      <c r="F2340" t="s">
        <v>44</v>
      </c>
      <c r="G2340">
        <v>2008</v>
      </c>
      <c r="H2340" t="s">
        <v>744</v>
      </c>
      <c r="K2340" t="s">
        <v>25</v>
      </c>
      <c r="L2340" t="s">
        <v>30</v>
      </c>
      <c r="M2340" t="b">
        <v>1</v>
      </c>
      <c r="N2340" t="s">
        <v>2682</v>
      </c>
      <c r="P2340" t="s">
        <v>2683</v>
      </c>
      <c r="Q2340" t="b">
        <v>1</v>
      </c>
      <c r="T2340" t="str">
        <f>"9780310300557"</f>
        <v>9780310300557</v>
      </c>
      <c r="U2340" t="b">
        <v>0</v>
      </c>
      <c r="W2340" t="b">
        <v>0</v>
      </c>
    </row>
    <row r="2341" spans="1:23" x14ac:dyDescent="0.3">
      <c r="A2341">
        <v>2980342</v>
      </c>
      <c r="B2341">
        <v>51.72</v>
      </c>
      <c r="C2341" t="s">
        <v>5220</v>
      </c>
      <c r="E2341" t="s">
        <v>23</v>
      </c>
      <c r="F2341" t="s">
        <v>44</v>
      </c>
      <c r="G2341">
        <v>2009</v>
      </c>
      <c r="H2341" t="s">
        <v>58</v>
      </c>
      <c r="K2341" t="s">
        <v>25</v>
      </c>
      <c r="L2341" t="s">
        <v>30</v>
      </c>
      <c r="M2341" t="b">
        <v>1</v>
      </c>
      <c r="N2341" t="s">
        <v>2832</v>
      </c>
      <c r="Q2341" t="b">
        <v>0</v>
      </c>
      <c r="S2341" t="str">
        <f>"9780310268994"</f>
        <v>9780310268994</v>
      </c>
      <c r="T2341" t="str">
        <f>"9780310862673"</f>
        <v>9780310862673</v>
      </c>
      <c r="U2341" t="b">
        <v>0</v>
      </c>
      <c r="W2341" t="b">
        <v>0</v>
      </c>
    </row>
    <row r="2342" spans="1:23" x14ac:dyDescent="0.3">
      <c r="A2342">
        <v>2980341</v>
      </c>
      <c r="B2342">
        <v>100.02</v>
      </c>
      <c r="C2342" t="s">
        <v>5221</v>
      </c>
      <c r="D2342" t="s">
        <v>5222</v>
      </c>
      <c r="E2342" t="s">
        <v>23</v>
      </c>
      <c r="F2342" t="s">
        <v>44</v>
      </c>
      <c r="G2342">
        <v>2018</v>
      </c>
      <c r="H2342" t="s">
        <v>5177</v>
      </c>
      <c r="K2342" t="s">
        <v>25</v>
      </c>
      <c r="L2342" t="s">
        <v>26</v>
      </c>
      <c r="M2342" t="b">
        <v>1</v>
      </c>
      <c r="N2342" t="s">
        <v>5223</v>
      </c>
      <c r="Q2342" t="b">
        <v>0</v>
      </c>
      <c r="S2342" t="str">
        <f>"9780310350910"</f>
        <v>9780310350910</v>
      </c>
      <c r="T2342" t="str">
        <f>"9780310351054"</f>
        <v>9780310351054</v>
      </c>
      <c r="U2342" t="b">
        <v>0</v>
      </c>
      <c r="W2342" t="b">
        <v>0</v>
      </c>
    </row>
    <row r="2343" spans="1:23" x14ac:dyDescent="0.3">
      <c r="A2343">
        <v>2980340</v>
      </c>
      <c r="B2343">
        <v>14.18</v>
      </c>
      <c r="C2343" t="s">
        <v>5224</v>
      </c>
      <c r="D2343" t="s">
        <v>3027</v>
      </c>
      <c r="E2343" t="s">
        <v>23</v>
      </c>
      <c r="F2343" t="s">
        <v>44</v>
      </c>
      <c r="G2343">
        <v>2019</v>
      </c>
      <c r="H2343" t="s">
        <v>772</v>
      </c>
      <c r="K2343" t="s">
        <v>25</v>
      </c>
      <c r="L2343" t="s">
        <v>30</v>
      </c>
      <c r="M2343" t="b">
        <v>1</v>
      </c>
      <c r="N2343" t="s">
        <v>776</v>
      </c>
      <c r="Q2343" t="b">
        <v>1</v>
      </c>
      <c r="T2343" t="str">
        <f>"9780310352822"</f>
        <v>9780310352822</v>
      </c>
      <c r="U2343" t="b">
        <v>0</v>
      </c>
      <c r="W2343" t="b">
        <v>0</v>
      </c>
    </row>
    <row r="2344" spans="1:23" x14ac:dyDescent="0.3">
      <c r="A2344">
        <v>2980339</v>
      </c>
      <c r="B2344">
        <v>34.47</v>
      </c>
      <c r="C2344" t="s">
        <v>5225</v>
      </c>
      <c r="E2344" t="s">
        <v>23</v>
      </c>
      <c r="F2344" t="s">
        <v>44</v>
      </c>
      <c r="G2344">
        <v>2011</v>
      </c>
      <c r="H2344" t="s">
        <v>99</v>
      </c>
      <c r="K2344" t="s">
        <v>25</v>
      </c>
      <c r="L2344" t="s">
        <v>30</v>
      </c>
      <c r="M2344" t="b">
        <v>1</v>
      </c>
      <c r="N2344" t="s">
        <v>3116</v>
      </c>
      <c r="Q2344" t="b">
        <v>0</v>
      </c>
      <c r="S2344" t="str">
        <f>"9780310271710"</f>
        <v>9780310271710</v>
      </c>
      <c r="T2344" t="str">
        <f>"9780310862000"</f>
        <v>9780310862000</v>
      </c>
      <c r="U2344" t="b">
        <v>0</v>
      </c>
      <c r="W2344" t="b">
        <v>0</v>
      </c>
    </row>
    <row r="2345" spans="1:23" x14ac:dyDescent="0.3">
      <c r="A2345">
        <v>2980338</v>
      </c>
      <c r="B2345">
        <v>35.5</v>
      </c>
      <c r="C2345" t="s">
        <v>5226</v>
      </c>
      <c r="E2345" t="s">
        <v>23</v>
      </c>
      <c r="F2345" t="s">
        <v>44</v>
      </c>
      <c r="G2345">
        <v>2009</v>
      </c>
      <c r="H2345" t="s">
        <v>62</v>
      </c>
      <c r="K2345" t="s">
        <v>25</v>
      </c>
      <c r="L2345" t="s">
        <v>30</v>
      </c>
      <c r="M2345" t="b">
        <v>1</v>
      </c>
      <c r="N2345" t="s">
        <v>1417</v>
      </c>
      <c r="P2345" t="s">
        <v>2761</v>
      </c>
      <c r="Q2345" t="b">
        <v>0</v>
      </c>
      <c r="T2345" t="str">
        <f>"9780310862284"</f>
        <v>9780310862284</v>
      </c>
      <c r="U2345" t="b">
        <v>0</v>
      </c>
      <c r="W2345" t="b">
        <v>0</v>
      </c>
    </row>
    <row r="2346" spans="1:23" x14ac:dyDescent="0.3">
      <c r="A2346">
        <v>2980337</v>
      </c>
      <c r="B2346">
        <v>65.52</v>
      </c>
      <c r="C2346" t="s">
        <v>5227</v>
      </c>
      <c r="D2346" t="s">
        <v>5228</v>
      </c>
      <c r="E2346" t="s">
        <v>23</v>
      </c>
      <c r="F2346" t="s">
        <v>44</v>
      </c>
      <c r="G2346">
        <v>2010</v>
      </c>
      <c r="H2346" t="s">
        <v>58</v>
      </c>
      <c r="K2346" t="s">
        <v>25</v>
      </c>
      <c r="L2346" t="s">
        <v>26</v>
      </c>
      <c r="M2346" t="b">
        <v>1</v>
      </c>
      <c r="N2346" t="s">
        <v>1017</v>
      </c>
      <c r="Q2346" t="b">
        <v>0</v>
      </c>
      <c r="S2346" t="str">
        <f>"9780310360810"</f>
        <v>9780310360810</v>
      </c>
      <c r="T2346" t="str">
        <f>"9780310598855"</f>
        <v>9780310598855</v>
      </c>
      <c r="U2346" t="b">
        <v>0</v>
      </c>
      <c r="W2346" t="b">
        <v>0</v>
      </c>
    </row>
    <row r="2347" spans="1:23" x14ac:dyDescent="0.3">
      <c r="A2347">
        <v>2980336</v>
      </c>
      <c r="B2347">
        <v>53.27</v>
      </c>
      <c r="C2347" t="s">
        <v>5229</v>
      </c>
      <c r="D2347" t="s">
        <v>5230</v>
      </c>
      <c r="E2347" t="s">
        <v>23</v>
      </c>
      <c r="F2347" t="s">
        <v>44</v>
      </c>
      <c r="G2347">
        <v>2011</v>
      </c>
      <c r="H2347" t="s">
        <v>132</v>
      </c>
      <c r="K2347" t="s">
        <v>25</v>
      </c>
      <c r="L2347" t="s">
        <v>30</v>
      </c>
      <c r="M2347" t="b">
        <v>1</v>
      </c>
      <c r="N2347" t="s">
        <v>5231</v>
      </c>
      <c r="P2347" t="s">
        <v>5232</v>
      </c>
      <c r="Q2347" t="b">
        <v>0</v>
      </c>
      <c r="T2347" t="str">
        <f>"9780310863038"</f>
        <v>9780310863038</v>
      </c>
      <c r="U2347" t="b">
        <v>0</v>
      </c>
      <c r="W2347" t="b">
        <v>0</v>
      </c>
    </row>
    <row r="2348" spans="1:23" x14ac:dyDescent="0.3">
      <c r="A2348">
        <v>2980335</v>
      </c>
      <c r="B2348">
        <v>65.52</v>
      </c>
      <c r="C2348" t="s">
        <v>5233</v>
      </c>
      <c r="D2348" t="s">
        <v>5234</v>
      </c>
      <c r="E2348" t="s">
        <v>23</v>
      </c>
      <c r="F2348" t="s">
        <v>44</v>
      </c>
      <c r="G2348">
        <v>2021</v>
      </c>
      <c r="H2348" t="s">
        <v>121</v>
      </c>
      <c r="K2348" t="s">
        <v>25</v>
      </c>
      <c r="L2348" t="s">
        <v>26</v>
      </c>
      <c r="M2348" t="b">
        <v>1</v>
      </c>
      <c r="N2348" t="s">
        <v>5235</v>
      </c>
      <c r="Q2348" t="b">
        <v>0</v>
      </c>
      <c r="S2348" t="str">
        <f>"9780310360698"</f>
        <v>9780310360698</v>
      </c>
      <c r="T2348" t="str">
        <f>"9780310360704"</f>
        <v>9780310360704</v>
      </c>
      <c r="U2348" t="b">
        <v>0</v>
      </c>
      <c r="W2348" t="b">
        <v>0</v>
      </c>
    </row>
    <row r="2349" spans="1:23" x14ac:dyDescent="0.3">
      <c r="A2349">
        <v>2980334</v>
      </c>
      <c r="B2349">
        <v>51.72</v>
      </c>
      <c r="C2349" t="s">
        <v>5236</v>
      </c>
      <c r="D2349" t="s">
        <v>5237</v>
      </c>
      <c r="E2349" t="s">
        <v>23</v>
      </c>
      <c r="F2349" t="s">
        <v>44</v>
      </c>
      <c r="G2349">
        <v>2019</v>
      </c>
      <c r="H2349" t="s">
        <v>69</v>
      </c>
      <c r="K2349" t="s">
        <v>25</v>
      </c>
      <c r="L2349" t="s">
        <v>26</v>
      </c>
      <c r="M2349" t="b">
        <v>1</v>
      </c>
      <c r="N2349" t="s">
        <v>5238</v>
      </c>
      <c r="Q2349" t="b">
        <v>0</v>
      </c>
      <c r="S2349" t="str">
        <f>"9780310231141"</f>
        <v>9780310231141</v>
      </c>
      <c r="T2349" t="str">
        <f>"9780310860969"</f>
        <v>9780310860969</v>
      </c>
      <c r="U2349" t="b">
        <v>0</v>
      </c>
      <c r="W2349" t="b">
        <v>0</v>
      </c>
    </row>
    <row r="2350" spans="1:23" x14ac:dyDescent="0.3">
      <c r="A2350">
        <v>2980333</v>
      </c>
      <c r="B2350">
        <v>53.27</v>
      </c>
      <c r="C2350" t="s">
        <v>5239</v>
      </c>
      <c r="D2350" t="s">
        <v>5240</v>
      </c>
      <c r="E2350" t="s">
        <v>23</v>
      </c>
      <c r="F2350" t="s">
        <v>44</v>
      </c>
      <c r="G2350">
        <v>2010</v>
      </c>
      <c r="H2350" t="s">
        <v>58</v>
      </c>
      <c r="K2350" t="s">
        <v>25</v>
      </c>
      <c r="L2350" t="s">
        <v>30</v>
      </c>
      <c r="M2350" t="b">
        <v>1</v>
      </c>
      <c r="N2350" t="s">
        <v>5241</v>
      </c>
      <c r="Q2350" t="b">
        <v>0</v>
      </c>
      <c r="T2350" t="str">
        <f>"9780310325673"</f>
        <v>9780310325673</v>
      </c>
      <c r="U2350" t="b">
        <v>0</v>
      </c>
      <c r="W2350" t="b">
        <v>0</v>
      </c>
    </row>
    <row r="2351" spans="1:23" x14ac:dyDescent="0.3">
      <c r="A2351">
        <v>2980332</v>
      </c>
      <c r="B2351">
        <v>44.82</v>
      </c>
      <c r="C2351" t="s">
        <v>5242</v>
      </c>
      <c r="D2351" t="s">
        <v>5243</v>
      </c>
      <c r="E2351" t="s">
        <v>23</v>
      </c>
      <c r="F2351" t="s">
        <v>44</v>
      </c>
      <c r="G2351">
        <v>2012</v>
      </c>
      <c r="H2351" t="s">
        <v>531</v>
      </c>
      <c r="K2351" t="s">
        <v>25</v>
      </c>
      <c r="L2351" t="s">
        <v>30</v>
      </c>
      <c r="M2351" t="b">
        <v>1</v>
      </c>
      <c r="N2351" t="s">
        <v>3576</v>
      </c>
      <c r="Q2351" t="b">
        <v>0</v>
      </c>
      <c r="S2351" t="str">
        <f>"9780310730026"</f>
        <v>9780310730026</v>
      </c>
      <c r="T2351" t="str">
        <f>"9780310730033"</f>
        <v>9780310730033</v>
      </c>
      <c r="U2351" t="b">
        <v>0</v>
      </c>
      <c r="W2351" t="b">
        <v>0</v>
      </c>
    </row>
    <row r="2352" spans="1:23" x14ac:dyDescent="0.3">
      <c r="A2352">
        <v>2980331</v>
      </c>
      <c r="B2352">
        <v>28.39</v>
      </c>
      <c r="C2352" t="s">
        <v>5244</v>
      </c>
      <c r="E2352" t="s">
        <v>23</v>
      </c>
      <c r="F2352" t="s">
        <v>44</v>
      </c>
      <c r="G2352">
        <v>2009</v>
      </c>
      <c r="H2352" t="s">
        <v>141</v>
      </c>
      <c r="K2352" t="s">
        <v>25</v>
      </c>
      <c r="L2352" t="s">
        <v>30</v>
      </c>
      <c r="M2352" t="b">
        <v>1</v>
      </c>
      <c r="N2352" t="s">
        <v>5245</v>
      </c>
      <c r="Q2352" t="b">
        <v>0</v>
      </c>
      <c r="T2352" t="str">
        <f>"9780310862871"</f>
        <v>9780310862871</v>
      </c>
      <c r="U2352" t="b">
        <v>0</v>
      </c>
      <c r="W2352" t="b">
        <v>0</v>
      </c>
    </row>
    <row r="2353" spans="1:23" x14ac:dyDescent="0.3">
      <c r="A2353">
        <v>2980330</v>
      </c>
      <c r="B2353">
        <v>55.17</v>
      </c>
      <c r="C2353" t="s">
        <v>5246</v>
      </c>
      <c r="D2353" t="s">
        <v>5247</v>
      </c>
      <c r="E2353" t="s">
        <v>23</v>
      </c>
      <c r="F2353" t="s">
        <v>44</v>
      </c>
      <c r="G2353">
        <v>2020</v>
      </c>
      <c r="H2353" t="s">
        <v>58</v>
      </c>
      <c r="K2353" t="s">
        <v>25</v>
      </c>
      <c r="L2353" t="s">
        <v>26</v>
      </c>
      <c r="M2353" t="b">
        <v>1</v>
      </c>
      <c r="N2353" t="s">
        <v>4303</v>
      </c>
      <c r="Q2353" t="b">
        <v>0</v>
      </c>
      <c r="S2353" t="str">
        <f>"9780310093183"</f>
        <v>9780310093183</v>
      </c>
      <c r="T2353" t="str">
        <f>"9780310093206"</f>
        <v>9780310093206</v>
      </c>
      <c r="U2353" t="b">
        <v>0</v>
      </c>
      <c r="W2353" t="b">
        <v>0</v>
      </c>
    </row>
    <row r="2354" spans="1:23" x14ac:dyDescent="0.3">
      <c r="A2354">
        <v>2980329</v>
      </c>
      <c r="B2354">
        <v>55.17</v>
      </c>
      <c r="C2354" t="s">
        <v>5248</v>
      </c>
      <c r="D2354" t="s">
        <v>5249</v>
      </c>
      <c r="E2354" t="s">
        <v>23</v>
      </c>
      <c r="F2354" t="s">
        <v>44</v>
      </c>
      <c r="G2354">
        <v>2018</v>
      </c>
      <c r="H2354" t="s">
        <v>62</v>
      </c>
      <c r="K2354" t="s">
        <v>25</v>
      </c>
      <c r="L2354" t="s">
        <v>26</v>
      </c>
      <c r="M2354" t="b">
        <v>1</v>
      </c>
      <c r="N2354" t="s">
        <v>3470</v>
      </c>
      <c r="Q2354" t="b">
        <v>0</v>
      </c>
      <c r="S2354" t="str">
        <f>"9780310089858"</f>
        <v>9780310089858</v>
      </c>
      <c r="T2354" t="str">
        <f>"9780310090731"</f>
        <v>9780310090731</v>
      </c>
      <c r="U2354" t="b">
        <v>0</v>
      </c>
      <c r="W2354" t="b">
        <v>0</v>
      </c>
    </row>
    <row r="2355" spans="1:23" x14ac:dyDescent="0.3">
      <c r="A2355">
        <v>2980328</v>
      </c>
      <c r="B2355">
        <v>65.52</v>
      </c>
      <c r="C2355" t="s">
        <v>5250</v>
      </c>
      <c r="D2355" t="s">
        <v>5251</v>
      </c>
      <c r="E2355" t="s">
        <v>23</v>
      </c>
      <c r="F2355" t="s">
        <v>44</v>
      </c>
      <c r="G2355">
        <v>2020</v>
      </c>
      <c r="H2355" t="s">
        <v>99</v>
      </c>
      <c r="K2355" t="s">
        <v>25</v>
      </c>
      <c r="L2355" t="s">
        <v>26</v>
      </c>
      <c r="M2355" t="b">
        <v>1</v>
      </c>
      <c r="N2355" t="s">
        <v>5252</v>
      </c>
      <c r="Q2355" t="b">
        <v>0</v>
      </c>
      <c r="S2355" t="str">
        <f>"9780310357865"</f>
        <v>9780310357865</v>
      </c>
      <c r="T2355" t="str">
        <f>"9780310357957"</f>
        <v>9780310357957</v>
      </c>
      <c r="U2355" t="b">
        <v>0</v>
      </c>
      <c r="W2355" t="b">
        <v>0</v>
      </c>
    </row>
    <row r="2356" spans="1:23" x14ac:dyDescent="0.3">
      <c r="A2356">
        <v>2980327</v>
      </c>
      <c r="B2356">
        <v>68.97</v>
      </c>
      <c r="C2356" t="s">
        <v>5253</v>
      </c>
      <c r="D2356" t="s">
        <v>5254</v>
      </c>
      <c r="E2356" t="s">
        <v>23</v>
      </c>
      <c r="F2356" t="s">
        <v>44</v>
      </c>
      <c r="G2356">
        <v>2014</v>
      </c>
      <c r="H2356" t="s">
        <v>912</v>
      </c>
      <c r="K2356" t="s">
        <v>25</v>
      </c>
      <c r="L2356" t="s">
        <v>30</v>
      </c>
      <c r="M2356" t="b">
        <v>1</v>
      </c>
      <c r="N2356" t="s">
        <v>3903</v>
      </c>
      <c r="Q2356" t="b">
        <v>0</v>
      </c>
      <c r="S2356" t="str">
        <f>"9780310338826"</f>
        <v>9780310338826</v>
      </c>
      <c r="T2356" t="str">
        <f>"9780310338857"</f>
        <v>9780310338857</v>
      </c>
      <c r="U2356" t="b">
        <v>0</v>
      </c>
      <c r="W2356" t="b">
        <v>0</v>
      </c>
    </row>
    <row r="2357" spans="1:23" x14ac:dyDescent="0.3">
      <c r="A2357">
        <v>2980326</v>
      </c>
      <c r="B2357">
        <v>44.82</v>
      </c>
      <c r="C2357" t="s">
        <v>5255</v>
      </c>
      <c r="D2357" t="s">
        <v>5256</v>
      </c>
      <c r="E2357" t="s">
        <v>23</v>
      </c>
      <c r="F2357" t="s">
        <v>44</v>
      </c>
      <c r="G2357">
        <v>2009</v>
      </c>
      <c r="H2357" t="s">
        <v>728</v>
      </c>
      <c r="K2357" t="s">
        <v>25</v>
      </c>
      <c r="L2357" t="s">
        <v>30</v>
      </c>
      <c r="M2357" t="b">
        <v>1</v>
      </c>
      <c r="N2357" t="s">
        <v>3066</v>
      </c>
      <c r="P2357" t="s">
        <v>3412</v>
      </c>
      <c r="Q2357" t="b">
        <v>1</v>
      </c>
      <c r="S2357" t="str">
        <f>"9780310670018"</f>
        <v>9780310670018</v>
      </c>
      <c r="T2357" t="str">
        <f>"9780310830740"</f>
        <v>9780310830740</v>
      </c>
      <c r="U2357" t="b">
        <v>0</v>
      </c>
      <c r="W2357" t="b">
        <v>0</v>
      </c>
    </row>
    <row r="2358" spans="1:23" x14ac:dyDescent="0.3">
      <c r="A2358">
        <v>2980325</v>
      </c>
      <c r="B2358">
        <v>49.71</v>
      </c>
      <c r="C2358" t="s">
        <v>5257</v>
      </c>
      <c r="D2358" t="s">
        <v>5258</v>
      </c>
      <c r="E2358" t="s">
        <v>23</v>
      </c>
      <c r="F2358" t="s">
        <v>44</v>
      </c>
      <c r="G2358">
        <v>2010</v>
      </c>
      <c r="H2358" t="s">
        <v>736</v>
      </c>
      <c r="K2358" t="s">
        <v>25</v>
      </c>
      <c r="L2358" t="s">
        <v>30</v>
      </c>
      <c r="M2358" t="b">
        <v>1</v>
      </c>
      <c r="N2358" t="s">
        <v>3409</v>
      </c>
      <c r="Q2358" t="b">
        <v>0</v>
      </c>
      <c r="S2358" t="str">
        <f>"9780310235835"</f>
        <v>9780310235835</v>
      </c>
      <c r="T2358" t="str">
        <f>"9780310877448"</f>
        <v>9780310877448</v>
      </c>
      <c r="U2358" t="b">
        <v>0</v>
      </c>
      <c r="W2358" t="b">
        <v>0</v>
      </c>
    </row>
    <row r="2359" spans="1:23" x14ac:dyDescent="0.3">
      <c r="A2359">
        <v>2980324</v>
      </c>
      <c r="B2359">
        <v>99.46</v>
      </c>
      <c r="C2359" t="s">
        <v>5259</v>
      </c>
      <c r="D2359" t="s">
        <v>5260</v>
      </c>
      <c r="E2359" t="s">
        <v>23</v>
      </c>
      <c r="F2359" t="s">
        <v>44</v>
      </c>
      <c r="G2359">
        <v>2015</v>
      </c>
      <c r="H2359" t="s">
        <v>728</v>
      </c>
      <c r="K2359" t="s">
        <v>25</v>
      </c>
      <c r="L2359" t="s">
        <v>30</v>
      </c>
      <c r="M2359" t="b">
        <v>1</v>
      </c>
      <c r="N2359" t="s">
        <v>31</v>
      </c>
      <c r="P2359" t="s">
        <v>2729</v>
      </c>
      <c r="Q2359" t="b">
        <v>1</v>
      </c>
      <c r="T2359" t="str">
        <f>"9780310346869"</f>
        <v>9780310346869</v>
      </c>
      <c r="U2359" t="b">
        <v>0</v>
      </c>
      <c r="W2359" t="b">
        <v>0</v>
      </c>
    </row>
    <row r="2360" spans="1:23" x14ac:dyDescent="0.3">
      <c r="A2360">
        <v>2980323</v>
      </c>
      <c r="B2360">
        <v>88.8</v>
      </c>
      <c r="C2360" t="s">
        <v>2963</v>
      </c>
      <c r="D2360" t="s">
        <v>5261</v>
      </c>
      <c r="E2360" t="s">
        <v>23</v>
      </c>
      <c r="F2360" t="s">
        <v>44</v>
      </c>
      <c r="G2360">
        <v>2016</v>
      </c>
      <c r="H2360" t="s">
        <v>2535</v>
      </c>
      <c r="K2360" t="s">
        <v>25</v>
      </c>
      <c r="L2360" t="s">
        <v>30</v>
      </c>
      <c r="M2360" t="b">
        <v>1</v>
      </c>
      <c r="N2360" t="s">
        <v>4148</v>
      </c>
      <c r="P2360" t="s">
        <v>2963</v>
      </c>
      <c r="Q2360" t="b">
        <v>1</v>
      </c>
      <c r="T2360" t="str">
        <f>"9780310343981"</f>
        <v>9780310343981</v>
      </c>
      <c r="U2360" t="b">
        <v>0</v>
      </c>
      <c r="W2360" t="b">
        <v>0</v>
      </c>
    </row>
    <row r="2361" spans="1:23" x14ac:dyDescent="0.3">
      <c r="A2361">
        <v>2980322</v>
      </c>
      <c r="B2361">
        <v>55.17</v>
      </c>
      <c r="C2361" t="s">
        <v>5262</v>
      </c>
      <c r="D2361" t="s">
        <v>5263</v>
      </c>
      <c r="E2361" t="s">
        <v>23</v>
      </c>
      <c r="F2361" t="s">
        <v>44</v>
      </c>
      <c r="G2361">
        <v>2014</v>
      </c>
      <c r="H2361" t="s">
        <v>132</v>
      </c>
      <c r="K2361" t="s">
        <v>25</v>
      </c>
      <c r="L2361" t="s">
        <v>26</v>
      </c>
      <c r="M2361" t="b">
        <v>1</v>
      </c>
      <c r="N2361" t="s">
        <v>5264</v>
      </c>
      <c r="Q2361" t="b">
        <v>0</v>
      </c>
      <c r="S2361" t="str">
        <f>"9780310331797"</f>
        <v>9780310331797</v>
      </c>
      <c r="T2361" t="str">
        <f>"9780310331810"</f>
        <v>9780310331810</v>
      </c>
      <c r="U2361" t="b">
        <v>0</v>
      </c>
      <c r="W2361" t="b">
        <v>0</v>
      </c>
    </row>
    <row r="2362" spans="1:23" x14ac:dyDescent="0.3">
      <c r="A2362">
        <v>2980321</v>
      </c>
      <c r="B2362">
        <v>68.97</v>
      </c>
      <c r="C2362" t="s">
        <v>5265</v>
      </c>
      <c r="D2362" t="s">
        <v>5266</v>
      </c>
      <c r="E2362" t="s">
        <v>23</v>
      </c>
      <c r="F2362" t="s">
        <v>44</v>
      </c>
      <c r="G2362">
        <v>2017</v>
      </c>
      <c r="H2362" t="s">
        <v>132</v>
      </c>
      <c r="K2362" t="s">
        <v>25</v>
      </c>
      <c r="L2362" t="s">
        <v>26</v>
      </c>
      <c r="M2362" t="b">
        <v>1</v>
      </c>
      <c r="N2362" t="s">
        <v>752</v>
      </c>
      <c r="Q2362" t="b">
        <v>0</v>
      </c>
      <c r="S2362" t="str">
        <f>"9780310343080"</f>
        <v>9780310343080</v>
      </c>
      <c r="T2362" t="str">
        <f>"9780310343240"</f>
        <v>9780310343240</v>
      </c>
      <c r="U2362" t="b">
        <v>0</v>
      </c>
      <c r="W2362" t="b">
        <v>0</v>
      </c>
    </row>
    <row r="2363" spans="1:23" x14ac:dyDescent="0.3">
      <c r="A2363">
        <v>2980320</v>
      </c>
      <c r="B2363">
        <v>56.82</v>
      </c>
      <c r="C2363" t="s">
        <v>5267</v>
      </c>
      <c r="D2363" t="s">
        <v>5268</v>
      </c>
      <c r="E2363" t="s">
        <v>23</v>
      </c>
      <c r="F2363" t="s">
        <v>44</v>
      </c>
      <c r="G2363">
        <v>2009</v>
      </c>
      <c r="H2363" t="s">
        <v>74</v>
      </c>
      <c r="K2363" t="s">
        <v>25</v>
      </c>
      <c r="M2363" t="b">
        <v>1</v>
      </c>
      <c r="N2363" t="s">
        <v>31</v>
      </c>
      <c r="P2363" t="s">
        <v>3125</v>
      </c>
      <c r="Q2363" t="b">
        <v>1</v>
      </c>
      <c r="T2363" t="str">
        <f>"9780310866091"</f>
        <v>9780310866091</v>
      </c>
      <c r="U2363" t="b">
        <v>0</v>
      </c>
      <c r="W2363" t="b">
        <v>0</v>
      </c>
    </row>
    <row r="2364" spans="1:23" x14ac:dyDescent="0.3">
      <c r="A2364">
        <v>2980319</v>
      </c>
      <c r="B2364">
        <v>65.52</v>
      </c>
      <c r="C2364" t="s">
        <v>5269</v>
      </c>
      <c r="D2364" t="s">
        <v>5270</v>
      </c>
      <c r="E2364" t="s">
        <v>23</v>
      </c>
      <c r="F2364" t="s">
        <v>44</v>
      </c>
      <c r="G2364">
        <v>2020</v>
      </c>
      <c r="H2364" t="s">
        <v>736</v>
      </c>
      <c r="K2364" t="s">
        <v>25</v>
      </c>
      <c r="L2364" t="s">
        <v>26</v>
      </c>
      <c r="M2364" t="b">
        <v>1</v>
      </c>
      <c r="N2364" t="s">
        <v>5271</v>
      </c>
      <c r="Q2364" t="b">
        <v>0</v>
      </c>
      <c r="S2364" t="str">
        <f>"9780310357575"</f>
        <v>9780310357575</v>
      </c>
      <c r="T2364" t="str">
        <f>"9780310357582"</f>
        <v>9780310357582</v>
      </c>
      <c r="U2364" t="b">
        <v>0</v>
      </c>
      <c r="W2364" t="b">
        <v>0</v>
      </c>
    </row>
    <row r="2365" spans="1:23" x14ac:dyDescent="0.3">
      <c r="A2365">
        <v>2980318</v>
      </c>
      <c r="B2365">
        <v>93.12</v>
      </c>
      <c r="C2365" t="s">
        <v>5272</v>
      </c>
      <c r="D2365" t="s">
        <v>5273</v>
      </c>
      <c r="E2365" t="s">
        <v>23</v>
      </c>
      <c r="F2365" t="s">
        <v>44</v>
      </c>
      <c r="G2365">
        <v>2019</v>
      </c>
      <c r="H2365" t="s">
        <v>99</v>
      </c>
      <c r="K2365" t="s">
        <v>25</v>
      </c>
      <c r="L2365" t="s">
        <v>26</v>
      </c>
      <c r="M2365" t="b">
        <v>1</v>
      </c>
      <c r="N2365" t="s">
        <v>2922</v>
      </c>
      <c r="Q2365" t="b">
        <v>0</v>
      </c>
      <c r="S2365" t="str">
        <f>"9780310346593"</f>
        <v>9780310346593</v>
      </c>
      <c r="T2365" t="str">
        <f>"9780310346616"</f>
        <v>9780310346616</v>
      </c>
      <c r="U2365" t="b">
        <v>0</v>
      </c>
      <c r="W2365" t="b">
        <v>0</v>
      </c>
    </row>
    <row r="2366" spans="1:23" x14ac:dyDescent="0.3">
      <c r="A2366">
        <v>2980317</v>
      </c>
      <c r="B2366">
        <v>65.52</v>
      </c>
      <c r="C2366" t="s">
        <v>5274</v>
      </c>
      <c r="E2366" t="s">
        <v>23</v>
      </c>
      <c r="F2366" t="s">
        <v>44</v>
      </c>
      <c r="G2366">
        <v>2018</v>
      </c>
      <c r="H2366" t="s">
        <v>58</v>
      </c>
      <c r="K2366" t="s">
        <v>25</v>
      </c>
      <c r="L2366" t="s">
        <v>26</v>
      </c>
      <c r="M2366" t="b">
        <v>1</v>
      </c>
      <c r="N2366" t="s">
        <v>4171</v>
      </c>
      <c r="Q2366" t="b">
        <v>0</v>
      </c>
      <c r="S2366" t="str">
        <f>"9780310361817"</f>
        <v>9780310361817</v>
      </c>
      <c r="T2366" t="str">
        <f>"9780310357438"</f>
        <v>9780310357438</v>
      </c>
      <c r="U2366" t="b">
        <v>0</v>
      </c>
      <c r="W2366" t="b">
        <v>0</v>
      </c>
    </row>
    <row r="2367" spans="1:23" x14ac:dyDescent="0.3">
      <c r="A2367">
        <v>2980316</v>
      </c>
      <c r="B2367">
        <v>58.62</v>
      </c>
      <c r="C2367" t="s">
        <v>5275</v>
      </c>
      <c r="D2367" t="s">
        <v>5276</v>
      </c>
      <c r="E2367" t="s">
        <v>23</v>
      </c>
      <c r="F2367" t="s">
        <v>44</v>
      </c>
      <c r="G2367">
        <v>2018</v>
      </c>
      <c r="H2367" t="s">
        <v>99</v>
      </c>
      <c r="K2367" t="s">
        <v>25</v>
      </c>
      <c r="L2367" t="s">
        <v>26</v>
      </c>
      <c r="M2367" t="b">
        <v>1</v>
      </c>
      <c r="N2367" t="s">
        <v>2922</v>
      </c>
      <c r="Q2367" t="b">
        <v>0</v>
      </c>
      <c r="S2367" t="str">
        <f>"9780310350118"</f>
        <v>9780310350118</v>
      </c>
      <c r="T2367" t="str">
        <f>"9780310350125"</f>
        <v>9780310350125</v>
      </c>
      <c r="U2367" t="b">
        <v>0</v>
      </c>
      <c r="W2367" t="b">
        <v>0</v>
      </c>
    </row>
    <row r="2368" spans="1:23" x14ac:dyDescent="0.3">
      <c r="A2368">
        <v>2980315</v>
      </c>
      <c r="B2368">
        <v>58.62</v>
      </c>
      <c r="C2368" t="s">
        <v>5277</v>
      </c>
      <c r="D2368" t="s">
        <v>5278</v>
      </c>
      <c r="E2368" t="s">
        <v>23</v>
      </c>
      <c r="F2368" t="s">
        <v>44</v>
      </c>
      <c r="G2368">
        <v>2019</v>
      </c>
      <c r="H2368" t="s">
        <v>3011</v>
      </c>
      <c r="K2368" t="s">
        <v>25</v>
      </c>
      <c r="L2368" t="s">
        <v>26</v>
      </c>
      <c r="M2368" t="b">
        <v>1</v>
      </c>
      <c r="N2368" t="s">
        <v>5279</v>
      </c>
      <c r="Q2368" t="b">
        <v>0</v>
      </c>
      <c r="S2368" t="str">
        <f>"9780310765882"</f>
        <v>9780310765882</v>
      </c>
      <c r="T2368" t="str">
        <f>"9780310765868"</f>
        <v>9780310765868</v>
      </c>
      <c r="U2368" t="b">
        <v>0</v>
      </c>
      <c r="W2368" t="b">
        <v>0</v>
      </c>
    </row>
    <row r="2369" spans="1:23" x14ac:dyDescent="0.3">
      <c r="A2369">
        <v>2980314</v>
      </c>
      <c r="B2369">
        <v>172.47</v>
      </c>
      <c r="C2369" t="s">
        <v>5280</v>
      </c>
      <c r="D2369" t="s">
        <v>2257</v>
      </c>
      <c r="E2369" t="s">
        <v>23</v>
      </c>
      <c r="F2369" t="s">
        <v>44</v>
      </c>
      <c r="G2369">
        <v>2017</v>
      </c>
      <c r="H2369" t="s">
        <v>5281</v>
      </c>
      <c r="K2369" t="s">
        <v>25</v>
      </c>
      <c r="L2369" t="s">
        <v>145</v>
      </c>
      <c r="M2369" t="b">
        <v>1</v>
      </c>
      <c r="N2369" t="s">
        <v>44</v>
      </c>
      <c r="Q2369" t="b">
        <v>0</v>
      </c>
      <c r="S2369" t="str">
        <f>"9780310003557"</f>
        <v>9780310003557</v>
      </c>
      <c r="T2369" t="str">
        <f>"9780310003618"</f>
        <v>9780310003618</v>
      </c>
      <c r="U2369" t="b">
        <v>0</v>
      </c>
      <c r="W2369" t="b">
        <v>0</v>
      </c>
    </row>
    <row r="2370" spans="1:23" x14ac:dyDescent="0.3">
      <c r="A2370">
        <v>2980313</v>
      </c>
      <c r="B2370">
        <v>55.17</v>
      </c>
      <c r="C2370" t="s">
        <v>5282</v>
      </c>
      <c r="D2370" t="s">
        <v>5283</v>
      </c>
      <c r="E2370" t="s">
        <v>23</v>
      </c>
      <c r="F2370" t="s">
        <v>44</v>
      </c>
      <c r="G2370">
        <v>2016</v>
      </c>
      <c r="H2370" t="s">
        <v>69</v>
      </c>
      <c r="K2370" t="s">
        <v>25</v>
      </c>
      <c r="L2370" t="s">
        <v>26</v>
      </c>
      <c r="M2370" t="b">
        <v>1</v>
      </c>
      <c r="N2370" t="s">
        <v>2324</v>
      </c>
      <c r="Q2370" t="b">
        <v>0</v>
      </c>
      <c r="S2370" t="str">
        <f>"9780310344025"</f>
        <v>9780310344025</v>
      </c>
      <c r="T2370" t="str">
        <f>"9780310344032"</f>
        <v>9780310344032</v>
      </c>
      <c r="U2370" t="b">
        <v>0</v>
      </c>
      <c r="W2370" t="b">
        <v>0</v>
      </c>
    </row>
    <row r="2371" spans="1:23" x14ac:dyDescent="0.3">
      <c r="A2371">
        <v>2980312</v>
      </c>
      <c r="B2371">
        <v>53.27</v>
      </c>
      <c r="C2371" t="s">
        <v>5284</v>
      </c>
      <c r="D2371" t="s">
        <v>5285</v>
      </c>
      <c r="E2371" t="s">
        <v>23</v>
      </c>
      <c r="F2371" t="s">
        <v>44</v>
      </c>
      <c r="G2371">
        <v>2011</v>
      </c>
      <c r="H2371" t="s">
        <v>132</v>
      </c>
      <c r="K2371" t="s">
        <v>25</v>
      </c>
      <c r="L2371" t="s">
        <v>30</v>
      </c>
      <c r="M2371" t="b">
        <v>1</v>
      </c>
      <c r="N2371" t="s">
        <v>44</v>
      </c>
      <c r="Q2371" t="b">
        <v>0</v>
      </c>
      <c r="T2371" t="str">
        <f>"9780310872917"</f>
        <v>9780310872917</v>
      </c>
      <c r="U2371" t="b">
        <v>0</v>
      </c>
      <c r="W2371" t="b">
        <v>0</v>
      </c>
    </row>
    <row r="2372" spans="1:23" x14ac:dyDescent="0.3">
      <c r="A2372">
        <v>2980311</v>
      </c>
      <c r="B2372">
        <v>58.62</v>
      </c>
      <c r="C2372" t="s">
        <v>5286</v>
      </c>
      <c r="D2372" t="s">
        <v>5287</v>
      </c>
      <c r="E2372" t="s">
        <v>23</v>
      </c>
      <c r="F2372" t="s">
        <v>44</v>
      </c>
      <c r="G2372">
        <v>2013</v>
      </c>
      <c r="H2372" t="s">
        <v>5288</v>
      </c>
      <c r="K2372" t="s">
        <v>25</v>
      </c>
      <c r="L2372" t="s">
        <v>30</v>
      </c>
      <c r="M2372" t="b">
        <v>1</v>
      </c>
      <c r="N2372" t="s">
        <v>5027</v>
      </c>
      <c r="Q2372" t="b">
        <v>0</v>
      </c>
      <c r="S2372" t="str">
        <f>"9780310330837"</f>
        <v>9780310330837</v>
      </c>
      <c r="T2372" t="str">
        <f>"9780310330844"</f>
        <v>9780310330844</v>
      </c>
      <c r="U2372" t="b">
        <v>0</v>
      </c>
      <c r="W2372" t="b">
        <v>0</v>
      </c>
    </row>
    <row r="2373" spans="1:23" x14ac:dyDescent="0.3">
      <c r="A2373">
        <v>2980310</v>
      </c>
      <c r="B2373">
        <v>42.61</v>
      </c>
      <c r="C2373" t="s">
        <v>5289</v>
      </c>
      <c r="E2373" t="s">
        <v>23</v>
      </c>
      <c r="F2373" t="s">
        <v>44</v>
      </c>
      <c r="G2373">
        <v>2009</v>
      </c>
      <c r="H2373" t="s">
        <v>736</v>
      </c>
      <c r="K2373" t="s">
        <v>25</v>
      </c>
      <c r="L2373" t="s">
        <v>30</v>
      </c>
      <c r="M2373" t="b">
        <v>1</v>
      </c>
      <c r="N2373" t="s">
        <v>4965</v>
      </c>
      <c r="Q2373" t="b">
        <v>0</v>
      </c>
      <c r="T2373" t="str">
        <f>"9780310834045"</f>
        <v>9780310834045</v>
      </c>
      <c r="U2373" t="b">
        <v>0</v>
      </c>
      <c r="W2373" t="b">
        <v>0</v>
      </c>
    </row>
    <row r="2374" spans="1:23" x14ac:dyDescent="0.3">
      <c r="A2374">
        <v>2980309</v>
      </c>
      <c r="B2374">
        <v>14.18</v>
      </c>
      <c r="C2374" t="s">
        <v>5290</v>
      </c>
      <c r="E2374" t="s">
        <v>23</v>
      </c>
      <c r="F2374" t="s">
        <v>44</v>
      </c>
      <c r="G2374">
        <v>2010</v>
      </c>
      <c r="H2374" t="s">
        <v>1656</v>
      </c>
      <c r="K2374" t="s">
        <v>25</v>
      </c>
      <c r="L2374" t="s">
        <v>30</v>
      </c>
      <c r="M2374" t="b">
        <v>1</v>
      </c>
      <c r="N2374" t="s">
        <v>1657</v>
      </c>
      <c r="P2374" t="s">
        <v>1658</v>
      </c>
      <c r="Q2374" t="b">
        <v>1</v>
      </c>
      <c r="T2374" t="str">
        <f>"9780310861416"</f>
        <v>9780310861416</v>
      </c>
      <c r="U2374" t="b">
        <v>0</v>
      </c>
      <c r="W2374" t="b">
        <v>0</v>
      </c>
    </row>
    <row r="2375" spans="1:23" x14ac:dyDescent="0.3">
      <c r="A2375">
        <v>2980308</v>
      </c>
      <c r="B2375">
        <v>68.97</v>
      </c>
      <c r="C2375" t="s">
        <v>5291</v>
      </c>
      <c r="D2375" t="s">
        <v>5292</v>
      </c>
      <c r="E2375" t="s">
        <v>23</v>
      </c>
      <c r="F2375" t="s">
        <v>44</v>
      </c>
      <c r="G2375">
        <v>2020</v>
      </c>
      <c r="H2375" t="s">
        <v>4231</v>
      </c>
      <c r="K2375" t="s">
        <v>25</v>
      </c>
      <c r="L2375" t="s">
        <v>26</v>
      </c>
      <c r="M2375" t="b">
        <v>1</v>
      </c>
      <c r="N2375" t="s">
        <v>5163</v>
      </c>
      <c r="Q2375" t="b">
        <v>0</v>
      </c>
      <c r="S2375" t="str">
        <f>"9780310357780"</f>
        <v>9780310357780</v>
      </c>
      <c r="T2375" t="str">
        <f>"9780310357803"</f>
        <v>9780310357803</v>
      </c>
      <c r="U2375" t="b">
        <v>0</v>
      </c>
      <c r="W2375" t="b">
        <v>0</v>
      </c>
    </row>
    <row r="2376" spans="1:23" x14ac:dyDescent="0.3">
      <c r="A2376">
        <v>2980307</v>
      </c>
      <c r="B2376">
        <v>131.44</v>
      </c>
      <c r="C2376" t="s">
        <v>5293</v>
      </c>
      <c r="D2376" t="s">
        <v>5294</v>
      </c>
      <c r="E2376" t="s">
        <v>23</v>
      </c>
      <c r="F2376" t="s">
        <v>44</v>
      </c>
      <c r="G2376">
        <v>2014</v>
      </c>
      <c r="H2376" t="s">
        <v>728</v>
      </c>
      <c r="K2376" t="s">
        <v>25</v>
      </c>
      <c r="L2376" t="s">
        <v>30</v>
      </c>
      <c r="M2376" t="b">
        <v>1</v>
      </c>
      <c r="N2376" t="s">
        <v>31</v>
      </c>
      <c r="P2376" t="s">
        <v>2732</v>
      </c>
      <c r="Q2376" t="b">
        <v>1</v>
      </c>
      <c r="T2376" t="str">
        <f>"9780310342892"</f>
        <v>9780310342892</v>
      </c>
      <c r="U2376" t="b">
        <v>0</v>
      </c>
      <c r="W2376" t="b">
        <v>0</v>
      </c>
    </row>
    <row r="2377" spans="1:23" x14ac:dyDescent="0.3">
      <c r="A2377">
        <v>2980306</v>
      </c>
      <c r="B2377">
        <v>62.07</v>
      </c>
      <c r="C2377" t="s">
        <v>5295</v>
      </c>
      <c r="D2377" t="s">
        <v>5296</v>
      </c>
      <c r="E2377" t="s">
        <v>23</v>
      </c>
      <c r="F2377" t="s">
        <v>44</v>
      </c>
      <c r="G2377">
        <v>2019</v>
      </c>
      <c r="H2377" t="s">
        <v>99</v>
      </c>
      <c r="K2377" t="s">
        <v>25</v>
      </c>
      <c r="L2377" t="s">
        <v>26</v>
      </c>
      <c r="M2377" t="b">
        <v>1</v>
      </c>
      <c r="N2377" t="s">
        <v>220</v>
      </c>
      <c r="Q2377" t="b">
        <v>0</v>
      </c>
      <c r="S2377" t="str">
        <f>"9780310354963"</f>
        <v>9780310354963</v>
      </c>
      <c r="T2377" t="str">
        <f>"9780310358541"</f>
        <v>9780310358541</v>
      </c>
      <c r="U2377" t="b">
        <v>0</v>
      </c>
      <c r="W2377" t="b">
        <v>0</v>
      </c>
    </row>
    <row r="2378" spans="1:23" x14ac:dyDescent="0.3">
      <c r="A2378">
        <v>2980305</v>
      </c>
      <c r="B2378">
        <v>156.32</v>
      </c>
      <c r="C2378" t="s">
        <v>5297</v>
      </c>
      <c r="D2378" t="s">
        <v>5298</v>
      </c>
      <c r="E2378" t="s">
        <v>23</v>
      </c>
      <c r="F2378" t="s">
        <v>44</v>
      </c>
      <c r="G2378">
        <v>2014</v>
      </c>
      <c r="H2378" t="s">
        <v>1212</v>
      </c>
      <c r="K2378" t="s">
        <v>25</v>
      </c>
      <c r="L2378" t="s">
        <v>30</v>
      </c>
      <c r="M2378" t="b">
        <v>1</v>
      </c>
      <c r="N2378" t="s">
        <v>5299</v>
      </c>
      <c r="P2378" t="s">
        <v>2785</v>
      </c>
      <c r="Q2378" t="b">
        <v>1</v>
      </c>
      <c r="T2378" t="str">
        <f>"9780310342236"</f>
        <v>9780310342236</v>
      </c>
      <c r="U2378" t="b">
        <v>0</v>
      </c>
      <c r="W2378" t="b">
        <v>0</v>
      </c>
    </row>
    <row r="2379" spans="1:23" x14ac:dyDescent="0.3">
      <c r="A2379">
        <v>2980304</v>
      </c>
      <c r="B2379">
        <v>58.62</v>
      </c>
      <c r="C2379" t="s">
        <v>5300</v>
      </c>
      <c r="D2379" t="s">
        <v>5301</v>
      </c>
      <c r="E2379" t="s">
        <v>23</v>
      </c>
      <c r="F2379" t="s">
        <v>44</v>
      </c>
      <c r="G2379">
        <v>2017</v>
      </c>
      <c r="H2379" t="s">
        <v>58</v>
      </c>
      <c r="K2379" t="s">
        <v>25</v>
      </c>
      <c r="L2379" t="s">
        <v>26</v>
      </c>
      <c r="M2379" t="b">
        <v>1</v>
      </c>
      <c r="N2379" t="s">
        <v>5302</v>
      </c>
      <c r="Q2379" t="b">
        <v>0</v>
      </c>
      <c r="S2379" t="str">
        <f>"9780310345336"</f>
        <v>9780310345336</v>
      </c>
      <c r="T2379" t="str">
        <f>"9780310345343"</f>
        <v>9780310345343</v>
      </c>
      <c r="U2379" t="b">
        <v>0</v>
      </c>
      <c r="W2379" t="b">
        <v>0</v>
      </c>
    </row>
    <row r="2380" spans="1:23" x14ac:dyDescent="0.3">
      <c r="A2380">
        <v>2980303</v>
      </c>
      <c r="B2380">
        <v>7.07</v>
      </c>
      <c r="C2380" t="s">
        <v>5303</v>
      </c>
      <c r="E2380" t="s">
        <v>23</v>
      </c>
      <c r="F2380" t="s">
        <v>44</v>
      </c>
      <c r="G2380">
        <v>2018</v>
      </c>
      <c r="H2380" t="s">
        <v>58</v>
      </c>
      <c r="K2380" t="s">
        <v>25</v>
      </c>
      <c r="L2380" t="s">
        <v>26</v>
      </c>
      <c r="M2380" t="b">
        <v>1</v>
      </c>
      <c r="N2380" t="s">
        <v>3467</v>
      </c>
      <c r="Q2380" t="b">
        <v>0</v>
      </c>
      <c r="T2380" t="str">
        <f>"9780310353768"</f>
        <v>9780310353768</v>
      </c>
      <c r="U2380" t="b">
        <v>0</v>
      </c>
      <c r="W2380" t="b">
        <v>0</v>
      </c>
    </row>
    <row r="2381" spans="1:23" x14ac:dyDescent="0.3">
      <c r="A2381">
        <v>2980302</v>
      </c>
      <c r="B2381">
        <v>58.62</v>
      </c>
      <c r="C2381" t="s">
        <v>5304</v>
      </c>
      <c r="D2381" t="s">
        <v>5305</v>
      </c>
      <c r="E2381" t="s">
        <v>23</v>
      </c>
      <c r="F2381" t="s">
        <v>44</v>
      </c>
      <c r="G2381">
        <v>2015</v>
      </c>
      <c r="H2381" t="s">
        <v>99</v>
      </c>
      <c r="K2381" t="s">
        <v>25</v>
      </c>
      <c r="L2381" t="s">
        <v>26</v>
      </c>
      <c r="M2381" t="b">
        <v>1</v>
      </c>
      <c r="N2381" t="s">
        <v>2922</v>
      </c>
      <c r="Q2381" t="b">
        <v>0</v>
      </c>
      <c r="S2381" t="str">
        <f>"9780310353393"</f>
        <v>9780310353393</v>
      </c>
      <c r="T2381" t="str">
        <f>"9780310412960"</f>
        <v>9780310412960</v>
      </c>
      <c r="U2381" t="b">
        <v>0</v>
      </c>
      <c r="W2381" t="b">
        <v>0</v>
      </c>
    </row>
    <row r="2382" spans="1:23" x14ac:dyDescent="0.3">
      <c r="A2382">
        <v>2980301</v>
      </c>
      <c r="B2382">
        <v>51.72</v>
      </c>
      <c r="C2382" t="s">
        <v>5306</v>
      </c>
      <c r="D2382" t="s">
        <v>1405</v>
      </c>
      <c r="E2382" t="s">
        <v>23</v>
      </c>
      <c r="F2382" t="s">
        <v>44</v>
      </c>
      <c r="G2382">
        <v>2012</v>
      </c>
      <c r="H2382" t="s">
        <v>890</v>
      </c>
      <c r="K2382" t="s">
        <v>25</v>
      </c>
      <c r="L2382" t="s">
        <v>30</v>
      </c>
      <c r="M2382" t="b">
        <v>1</v>
      </c>
      <c r="N2382" t="s">
        <v>3805</v>
      </c>
      <c r="P2382" t="s">
        <v>3806</v>
      </c>
      <c r="Q2382" t="b">
        <v>1</v>
      </c>
      <c r="S2382" t="str">
        <f>"9780310293729"</f>
        <v>9780310293729</v>
      </c>
      <c r="T2382" t="str">
        <f>"9780310413035"</f>
        <v>9780310413035</v>
      </c>
      <c r="U2382" t="b">
        <v>0</v>
      </c>
      <c r="W2382" t="b">
        <v>0</v>
      </c>
    </row>
    <row r="2383" spans="1:23" x14ac:dyDescent="0.3">
      <c r="A2383">
        <v>2980300</v>
      </c>
      <c r="B2383">
        <v>42.61</v>
      </c>
      <c r="C2383" t="s">
        <v>5307</v>
      </c>
      <c r="D2383" t="s">
        <v>5308</v>
      </c>
      <c r="E2383" t="s">
        <v>23</v>
      </c>
      <c r="F2383" t="s">
        <v>44</v>
      </c>
      <c r="G2383">
        <v>2010</v>
      </c>
      <c r="H2383" t="s">
        <v>62</v>
      </c>
      <c r="K2383" t="s">
        <v>25</v>
      </c>
      <c r="L2383" t="s">
        <v>30</v>
      </c>
      <c r="M2383" t="b">
        <v>1</v>
      </c>
      <c r="N2383" t="s">
        <v>2686</v>
      </c>
      <c r="Q2383" t="b">
        <v>0</v>
      </c>
      <c r="T2383" t="str">
        <f>"9780310412304"</f>
        <v>9780310412304</v>
      </c>
      <c r="U2383" t="b">
        <v>0</v>
      </c>
      <c r="W2383" t="b">
        <v>0</v>
      </c>
    </row>
    <row r="2384" spans="1:23" x14ac:dyDescent="0.3">
      <c r="A2384">
        <v>2980299</v>
      </c>
      <c r="B2384">
        <v>49.71</v>
      </c>
      <c r="C2384" t="s">
        <v>5309</v>
      </c>
      <c r="E2384" t="s">
        <v>23</v>
      </c>
      <c r="F2384" t="s">
        <v>44</v>
      </c>
      <c r="G2384">
        <v>2009</v>
      </c>
      <c r="H2384" t="s">
        <v>728</v>
      </c>
      <c r="K2384" t="s">
        <v>25</v>
      </c>
      <c r="L2384" t="s">
        <v>30</v>
      </c>
      <c r="M2384" t="b">
        <v>1</v>
      </c>
      <c r="N2384" t="s">
        <v>3066</v>
      </c>
      <c r="P2384" t="s">
        <v>3067</v>
      </c>
      <c r="Q2384" t="b">
        <v>1</v>
      </c>
      <c r="T2384" t="str">
        <f>"9780310832607"</f>
        <v>9780310832607</v>
      </c>
      <c r="U2384" t="b">
        <v>0</v>
      </c>
      <c r="W2384" t="b">
        <v>0</v>
      </c>
    </row>
    <row r="2385" spans="1:23" x14ac:dyDescent="0.3">
      <c r="A2385">
        <v>2980298</v>
      </c>
      <c r="B2385">
        <v>55.17</v>
      </c>
      <c r="C2385" t="s">
        <v>5310</v>
      </c>
      <c r="E2385" t="s">
        <v>23</v>
      </c>
      <c r="F2385" t="s">
        <v>44</v>
      </c>
      <c r="G2385">
        <v>2021</v>
      </c>
      <c r="H2385" t="s">
        <v>772</v>
      </c>
      <c r="K2385" t="s">
        <v>25</v>
      </c>
      <c r="L2385" t="s">
        <v>26</v>
      </c>
      <c r="M2385" t="b">
        <v>1</v>
      </c>
      <c r="N2385" t="s">
        <v>958</v>
      </c>
      <c r="P2385" t="s">
        <v>959</v>
      </c>
      <c r="Q2385" t="b">
        <v>1</v>
      </c>
      <c r="S2385" t="str">
        <f>"9780310357254"</f>
        <v>9780310357254</v>
      </c>
      <c r="T2385" t="str">
        <f>"9780310357261"</f>
        <v>9780310357261</v>
      </c>
      <c r="U2385" t="b">
        <v>0</v>
      </c>
      <c r="W2385" t="b">
        <v>0</v>
      </c>
    </row>
    <row r="2386" spans="1:23" x14ac:dyDescent="0.3">
      <c r="A2386">
        <v>2980297</v>
      </c>
      <c r="B2386">
        <v>51.72</v>
      </c>
      <c r="C2386" t="s">
        <v>5311</v>
      </c>
      <c r="E2386" t="s">
        <v>23</v>
      </c>
      <c r="F2386" t="s">
        <v>44</v>
      </c>
      <c r="G2386">
        <v>2011</v>
      </c>
      <c r="H2386" t="s">
        <v>66</v>
      </c>
      <c r="K2386" t="s">
        <v>25</v>
      </c>
      <c r="L2386" t="s">
        <v>30</v>
      </c>
      <c r="M2386" t="b">
        <v>1</v>
      </c>
      <c r="N2386" t="s">
        <v>3170</v>
      </c>
      <c r="Q2386" t="b">
        <v>1</v>
      </c>
      <c r="S2386" t="str">
        <f>"9780310240891"</f>
        <v>9780310240891</v>
      </c>
      <c r="T2386" t="str">
        <f>"9780310861515"</f>
        <v>9780310861515</v>
      </c>
      <c r="U2386" t="b">
        <v>0</v>
      </c>
      <c r="W2386" t="b">
        <v>0</v>
      </c>
    </row>
    <row r="2387" spans="1:23" x14ac:dyDescent="0.3">
      <c r="A2387">
        <v>2980296</v>
      </c>
      <c r="B2387">
        <v>58.62</v>
      </c>
      <c r="C2387" t="s">
        <v>5312</v>
      </c>
      <c r="D2387" t="s">
        <v>5313</v>
      </c>
      <c r="E2387" t="s">
        <v>23</v>
      </c>
      <c r="F2387" t="s">
        <v>44</v>
      </c>
      <c r="G2387">
        <v>2015</v>
      </c>
      <c r="H2387" t="s">
        <v>1213</v>
      </c>
      <c r="I2387" t="s">
        <v>1214</v>
      </c>
      <c r="J2387" t="s">
        <v>5314</v>
      </c>
      <c r="K2387" t="s">
        <v>25</v>
      </c>
      <c r="L2387" t="s">
        <v>26</v>
      </c>
      <c r="M2387" t="b">
        <v>1</v>
      </c>
      <c r="N2387" t="s">
        <v>5315</v>
      </c>
      <c r="O2387" t="str">
        <f>"332.024"</f>
        <v>332.024</v>
      </c>
      <c r="Q2387" t="b">
        <v>0</v>
      </c>
      <c r="S2387" t="str">
        <f>"9780310343967"</f>
        <v>9780310343967</v>
      </c>
      <c r="T2387" t="str">
        <f>"9780310343974"</f>
        <v>9780310343974</v>
      </c>
      <c r="U2387" t="b">
        <v>0</v>
      </c>
      <c r="W2387" t="b">
        <v>0</v>
      </c>
    </row>
    <row r="2388" spans="1:23" x14ac:dyDescent="0.3">
      <c r="A2388">
        <v>2980295</v>
      </c>
      <c r="B2388">
        <v>55.17</v>
      </c>
      <c r="C2388" t="s">
        <v>5316</v>
      </c>
      <c r="E2388" t="s">
        <v>23</v>
      </c>
      <c r="F2388" t="s">
        <v>44</v>
      </c>
      <c r="G2388">
        <v>2009</v>
      </c>
      <c r="H2388" t="s">
        <v>1211</v>
      </c>
      <c r="K2388" t="s">
        <v>25</v>
      </c>
      <c r="L2388" t="s">
        <v>30</v>
      </c>
      <c r="M2388" t="b">
        <v>1</v>
      </c>
      <c r="N2388" t="s">
        <v>31</v>
      </c>
      <c r="Q2388" t="b">
        <v>1</v>
      </c>
      <c r="S2388" t="str">
        <f>"9780310266228"</f>
        <v>9780310266228</v>
      </c>
      <c r="T2388" t="str">
        <f>"9780310564140"</f>
        <v>9780310564140</v>
      </c>
      <c r="U2388" t="b">
        <v>0</v>
      </c>
      <c r="W2388" t="b">
        <v>0</v>
      </c>
    </row>
    <row r="2389" spans="1:23" x14ac:dyDescent="0.3">
      <c r="A2389">
        <v>2980294</v>
      </c>
      <c r="B2389">
        <v>44.82</v>
      </c>
      <c r="C2389" t="s">
        <v>5317</v>
      </c>
      <c r="D2389" t="s">
        <v>5318</v>
      </c>
      <c r="E2389" t="s">
        <v>23</v>
      </c>
      <c r="F2389" t="s">
        <v>44</v>
      </c>
      <c r="G2389">
        <v>2010</v>
      </c>
      <c r="H2389" t="s">
        <v>56</v>
      </c>
      <c r="K2389" t="s">
        <v>25</v>
      </c>
      <c r="L2389" t="s">
        <v>30</v>
      </c>
      <c r="M2389" t="b">
        <v>1</v>
      </c>
      <c r="N2389" t="s">
        <v>5319</v>
      </c>
      <c r="Q2389" t="b">
        <v>0</v>
      </c>
      <c r="S2389" t="str">
        <f>"9780310242604"</f>
        <v>9780310242604</v>
      </c>
      <c r="T2389" t="str">
        <f>"9780310872658"</f>
        <v>9780310872658</v>
      </c>
      <c r="U2389" t="b">
        <v>0</v>
      </c>
      <c r="W2389" t="b">
        <v>0</v>
      </c>
    </row>
    <row r="2390" spans="1:23" x14ac:dyDescent="0.3">
      <c r="A2390">
        <v>2980293</v>
      </c>
      <c r="B2390">
        <v>56.82</v>
      </c>
      <c r="C2390" t="s">
        <v>5320</v>
      </c>
      <c r="D2390" t="s">
        <v>5321</v>
      </c>
      <c r="E2390" t="s">
        <v>23</v>
      </c>
      <c r="F2390" t="s">
        <v>44</v>
      </c>
      <c r="G2390">
        <v>2014</v>
      </c>
      <c r="H2390" t="s">
        <v>912</v>
      </c>
      <c r="K2390" t="s">
        <v>25</v>
      </c>
      <c r="L2390" t="s">
        <v>26</v>
      </c>
      <c r="M2390" t="b">
        <v>1</v>
      </c>
      <c r="N2390" t="s">
        <v>5322</v>
      </c>
      <c r="Q2390" t="b">
        <v>0</v>
      </c>
      <c r="S2390" t="str">
        <f>"9780310338901"</f>
        <v>9780310338901</v>
      </c>
      <c r="T2390" t="str">
        <f>"9780310339038"</f>
        <v>9780310339038</v>
      </c>
      <c r="U2390" t="b">
        <v>0</v>
      </c>
      <c r="W2390" t="b">
        <v>0</v>
      </c>
    </row>
    <row r="2391" spans="1:23" x14ac:dyDescent="0.3">
      <c r="A2391">
        <v>2980292</v>
      </c>
      <c r="B2391">
        <v>56.82</v>
      </c>
      <c r="C2391" t="s">
        <v>1385</v>
      </c>
      <c r="D2391" t="s">
        <v>5323</v>
      </c>
      <c r="E2391" t="s">
        <v>23</v>
      </c>
      <c r="F2391" t="s">
        <v>44</v>
      </c>
      <c r="G2391">
        <v>2009</v>
      </c>
      <c r="H2391" t="s">
        <v>58</v>
      </c>
      <c r="K2391" t="s">
        <v>25</v>
      </c>
      <c r="L2391" t="s">
        <v>30</v>
      </c>
      <c r="M2391" t="b">
        <v>1</v>
      </c>
      <c r="N2391" t="s">
        <v>2269</v>
      </c>
      <c r="Q2391" t="b">
        <v>0</v>
      </c>
      <c r="T2391" t="str">
        <f>"9780310562146"</f>
        <v>9780310562146</v>
      </c>
      <c r="U2391" t="b">
        <v>0</v>
      </c>
      <c r="W2391" t="b">
        <v>0</v>
      </c>
    </row>
    <row r="2392" spans="1:23" x14ac:dyDescent="0.3">
      <c r="A2392">
        <v>2980291</v>
      </c>
      <c r="B2392">
        <v>71.03</v>
      </c>
      <c r="C2392" t="s">
        <v>5324</v>
      </c>
      <c r="D2392" t="s">
        <v>5325</v>
      </c>
      <c r="E2392" t="s">
        <v>23</v>
      </c>
      <c r="F2392" t="s">
        <v>44</v>
      </c>
      <c r="G2392">
        <v>2016</v>
      </c>
      <c r="H2392" t="s">
        <v>728</v>
      </c>
      <c r="K2392" t="s">
        <v>25</v>
      </c>
      <c r="L2392" t="s">
        <v>30</v>
      </c>
      <c r="M2392" t="b">
        <v>1</v>
      </c>
      <c r="N2392" t="s">
        <v>3580</v>
      </c>
      <c r="P2392" t="s">
        <v>3581</v>
      </c>
      <c r="Q2392" t="b">
        <v>1</v>
      </c>
      <c r="T2392" t="str">
        <f>"9780310347910"</f>
        <v>9780310347910</v>
      </c>
      <c r="U2392" t="b">
        <v>0</v>
      </c>
      <c r="W2392" t="b">
        <v>0</v>
      </c>
    </row>
    <row r="2393" spans="1:23" x14ac:dyDescent="0.3">
      <c r="A2393">
        <v>2980290</v>
      </c>
      <c r="B2393">
        <v>42.61</v>
      </c>
      <c r="C2393" t="s">
        <v>5326</v>
      </c>
      <c r="E2393" t="s">
        <v>23</v>
      </c>
      <c r="F2393" t="s">
        <v>44</v>
      </c>
      <c r="G2393">
        <v>2014</v>
      </c>
      <c r="H2393" t="s">
        <v>58</v>
      </c>
      <c r="K2393" t="s">
        <v>25</v>
      </c>
      <c r="L2393" t="s">
        <v>30</v>
      </c>
      <c r="M2393" t="b">
        <v>1</v>
      </c>
      <c r="N2393" t="s">
        <v>2807</v>
      </c>
      <c r="Q2393" t="b">
        <v>0</v>
      </c>
      <c r="T2393" t="str">
        <f>"9780310340577"</f>
        <v>9780310340577</v>
      </c>
      <c r="U2393" t="b">
        <v>0</v>
      </c>
      <c r="W2393" t="b">
        <v>0</v>
      </c>
    </row>
    <row r="2394" spans="1:23" x14ac:dyDescent="0.3">
      <c r="A2394">
        <v>2980289</v>
      </c>
      <c r="B2394">
        <v>86.22</v>
      </c>
      <c r="C2394" t="s">
        <v>5327</v>
      </c>
      <c r="D2394" t="s">
        <v>5328</v>
      </c>
      <c r="E2394" t="s">
        <v>23</v>
      </c>
      <c r="F2394" t="s">
        <v>44</v>
      </c>
      <c r="G2394">
        <v>2020</v>
      </c>
      <c r="H2394" t="s">
        <v>58</v>
      </c>
      <c r="K2394" t="s">
        <v>25</v>
      </c>
      <c r="L2394" t="s">
        <v>26</v>
      </c>
      <c r="M2394" t="b">
        <v>1</v>
      </c>
      <c r="N2394" t="s">
        <v>5007</v>
      </c>
      <c r="Q2394" t="b">
        <v>0</v>
      </c>
      <c r="S2394" t="str">
        <f>"9780310357001"</f>
        <v>9780310357001</v>
      </c>
      <c r="T2394" t="str">
        <f>"9780310357025"</f>
        <v>9780310357025</v>
      </c>
      <c r="U2394" t="b">
        <v>0</v>
      </c>
      <c r="W2394" t="b">
        <v>0</v>
      </c>
    </row>
    <row r="2395" spans="1:23" x14ac:dyDescent="0.3">
      <c r="A2395">
        <v>2980288</v>
      </c>
      <c r="B2395">
        <v>46.16</v>
      </c>
      <c r="C2395" t="s">
        <v>4156</v>
      </c>
      <c r="D2395" t="s">
        <v>5329</v>
      </c>
      <c r="E2395" t="s">
        <v>23</v>
      </c>
      <c r="F2395" t="s">
        <v>44</v>
      </c>
      <c r="G2395">
        <v>2016</v>
      </c>
      <c r="H2395" t="s">
        <v>62</v>
      </c>
      <c r="K2395" t="s">
        <v>25</v>
      </c>
      <c r="L2395" t="s">
        <v>26</v>
      </c>
      <c r="M2395" t="b">
        <v>1</v>
      </c>
      <c r="N2395" t="s">
        <v>3323</v>
      </c>
      <c r="P2395" t="s">
        <v>4156</v>
      </c>
      <c r="Q2395" t="b">
        <v>0</v>
      </c>
      <c r="T2395" t="str">
        <f>"9780310356394"</f>
        <v>9780310356394</v>
      </c>
      <c r="U2395" t="b">
        <v>0</v>
      </c>
      <c r="W2395" t="b">
        <v>0</v>
      </c>
    </row>
    <row r="2396" spans="1:23" x14ac:dyDescent="0.3">
      <c r="A2396">
        <v>2980287</v>
      </c>
      <c r="B2396">
        <v>58.62</v>
      </c>
      <c r="C2396" t="s">
        <v>5330</v>
      </c>
      <c r="D2396" t="s">
        <v>5331</v>
      </c>
      <c r="E2396" t="s">
        <v>23</v>
      </c>
      <c r="F2396" t="s">
        <v>44</v>
      </c>
      <c r="G2396">
        <v>2017</v>
      </c>
      <c r="H2396" t="s">
        <v>5332</v>
      </c>
      <c r="K2396" t="s">
        <v>25</v>
      </c>
      <c r="L2396" t="s">
        <v>26</v>
      </c>
      <c r="M2396" t="b">
        <v>1</v>
      </c>
      <c r="N2396" t="s">
        <v>5333</v>
      </c>
      <c r="Q2396" t="b">
        <v>0</v>
      </c>
      <c r="S2396" t="str">
        <f>"9780310335443"</f>
        <v>9780310335443</v>
      </c>
      <c r="T2396" t="str">
        <f>"9780310335450"</f>
        <v>9780310335450</v>
      </c>
      <c r="U2396" t="b">
        <v>0</v>
      </c>
      <c r="W2396" t="b">
        <v>0</v>
      </c>
    </row>
    <row r="2397" spans="1:23" x14ac:dyDescent="0.3">
      <c r="A2397">
        <v>2980286</v>
      </c>
      <c r="B2397">
        <v>51.72</v>
      </c>
      <c r="C2397" t="s">
        <v>5334</v>
      </c>
      <c r="D2397" t="s">
        <v>1405</v>
      </c>
      <c r="E2397" t="s">
        <v>23</v>
      </c>
      <c r="F2397" t="s">
        <v>44</v>
      </c>
      <c r="G2397">
        <v>2011</v>
      </c>
      <c r="H2397" t="s">
        <v>890</v>
      </c>
      <c r="K2397" t="s">
        <v>25</v>
      </c>
      <c r="L2397" t="s">
        <v>30</v>
      </c>
      <c r="M2397" t="b">
        <v>1</v>
      </c>
      <c r="N2397" t="s">
        <v>3805</v>
      </c>
      <c r="P2397" t="s">
        <v>3806</v>
      </c>
      <c r="Q2397" t="b">
        <v>1</v>
      </c>
      <c r="S2397" t="str">
        <f>"9780310293705"</f>
        <v>9780310293705</v>
      </c>
      <c r="T2397" t="str">
        <f>"9780310413004"</f>
        <v>9780310413004</v>
      </c>
      <c r="U2397" t="b">
        <v>0</v>
      </c>
      <c r="W2397" t="b">
        <v>0</v>
      </c>
    </row>
    <row r="2398" spans="1:23" x14ac:dyDescent="0.3">
      <c r="A2398">
        <v>2980285</v>
      </c>
      <c r="B2398">
        <v>39.049999999999997</v>
      </c>
      <c r="C2398" t="s">
        <v>5335</v>
      </c>
      <c r="D2398" t="s">
        <v>5336</v>
      </c>
      <c r="E2398" t="s">
        <v>23</v>
      </c>
      <c r="F2398" t="s">
        <v>44</v>
      </c>
      <c r="G2398">
        <v>2011</v>
      </c>
      <c r="H2398" t="s">
        <v>62</v>
      </c>
      <c r="K2398" t="s">
        <v>25</v>
      </c>
      <c r="L2398" t="s">
        <v>30</v>
      </c>
      <c r="M2398" t="b">
        <v>1</v>
      </c>
      <c r="N2398" t="s">
        <v>5337</v>
      </c>
      <c r="Q2398" t="b">
        <v>0</v>
      </c>
      <c r="T2398" t="str">
        <f>"9780310332206"</f>
        <v>9780310332206</v>
      </c>
      <c r="U2398" t="b">
        <v>0</v>
      </c>
      <c r="W2398" t="b">
        <v>0</v>
      </c>
    </row>
    <row r="2399" spans="1:23" x14ac:dyDescent="0.3">
      <c r="A2399">
        <v>2980284</v>
      </c>
      <c r="B2399">
        <v>49.71</v>
      </c>
      <c r="C2399" t="s">
        <v>5338</v>
      </c>
      <c r="D2399" t="s">
        <v>5339</v>
      </c>
      <c r="E2399" t="s">
        <v>23</v>
      </c>
      <c r="F2399" t="s">
        <v>44</v>
      </c>
      <c r="G2399">
        <v>2010</v>
      </c>
      <c r="H2399" t="s">
        <v>5340</v>
      </c>
      <c r="K2399" t="s">
        <v>25</v>
      </c>
      <c r="L2399" t="s">
        <v>30</v>
      </c>
      <c r="M2399" t="b">
        <v>1</v>
      </c>
      <c r="N2399" t="s">
        <v>5341</v>
      </c>
      <c r="Q2399" t="b">
        <v>0</v>
      </c>
      <c r="T2399" t="str">
        <f>"9780310412489"</f>
        <v>9780310412489</v>
      </c>
      <c r="U2399" t="b">
        <v>0</v>
      </c>
      <c r="W2399" t="b">
        <v>0</v>
      </c>
    </row>
    <row r="2400" spans="1:23" x14ac:dyDescent="0.3">
      <c r="A2400">
        <v>2980283</v>
      </c>
      <c r="B2400">
        <v>51.72</v>
      </c>
      <c r="C2400" t="s">
        <v>5342</v>
      </c>
      <c r="D2400" t="s">
        <v>5343</v>
      </c>
      <c r="E2400" t="s">
        <v>23</v>
      </c>
      <c r="F2400" t="s">
        <v>44</v>
      </c>
      <c r="G2400">
        <v>2010</v>
      </c>
      <c r="H2400" t="s">
        <v>89</v>
      </c>
      <c r="K2400" t="s">
        <v>25</v>
      </c>
      <c r="L2400" t="s">
        <v>30</v>
      </c>
      <c r="M2400" t="b">
        <v>1</v>
      </c>
      <c r="N2400" t="s">
        <v>3615</v>
      </c>
      <c r="Q2400" t="b">
        <v>0</v>
      </c>
      <c r="S2400" t="str">
        <f>"9780310246374"</f>
        <v>9780310246374</v>
      </c>
      <c r="T2400" t="str">
        <f>"9780310874263"</f>
        <v>9780310874263</v>
      </c>
      <c r="U2400" t="b">
        <v>0</v>
      </c>
      <c r="W2400" t="b">
        <v>0</v>
      </c>
    </row>
    <row r="2401" spans="1:23" x14ac:dyDescent="0.3">
      <c r="A2401">
        <v>2980282</v>
      </c>
      <c r="B2401">
        <v>46.16</v>
      </c>
      <c r="C2401" t="s">
        <v>5344</v>
      </c>
      <c r="D2401" t="s">
        <v>5345</v>
      </c>
      <c r="E2401" t="s">
        <v>23</v>
      </c>
      <c r="F2401" t="s">
        <v>44</v>
      </c>
      <c r="G2401">
        <v>2009</v>
      </c>
      <c r="H2401" t="s">
        <v>58</v>
      </c>
      <c r="I2401" t="s">
        <v>5346</v>
      </c>
      <c r="J2401" t="s">
        <v>5347</v>
      </c>
      <c r="K2401" t="s">
        <v>25</v>
      </c>
      <c r="L2401" t="s">
        <v>30</v>
      </c>
      <c r="M2401" t="b">
        <v>1</v>
      </c>
      <c r="N2401" t="s">
        <v>5348</v>
      </c>
      <c r="O2401" t="str">
        <f>"248.2/46/092273"</f>
        <v>248.2/46/092273</v>
      </c>
      <c r="Q2401" t="b">
        <v>0</v>
      </c>
      <c r="T2401" t="str">
        <f>"9780310542872"</f>
        <v>9780310542872</v>
      </c>
      <c r="U2401" t="b">
        <v>0</v>
      </c>
      <c r="W2401" t="b">
        <v>0</v>
      </c>
    </row>
    <row r="2402" spans="1:23" x14ac:dyDescent="0.3">
      <c r="A2402">
        <v>2980281</v>
      </c>
      <c r="B2402">
        <v>55.17</v>
      </c>
      <c r="C2402" t="s">
        <v>5349</v>
      </c>
      <c r="E2402" t="s">
        <v>23</v>
      </c>
      <c r="F2402" t="s">
        <v>44</v>
      </c>
      <c r="G2402">
        <v>2010</v>
      </c>
      <c r="H2402" t="s">
        <v>66</v>
      </c>
      <c r="K2402" t="s">
        <v>25</v>
      </c>
      <c r="L2402" t="s">
        <v>30</v>
      </c>
      <c r="M2402" t="b">
        <v>1</v>
      </c>
      <c r="N2402" t="s">
        <v>77</v>
      </c>
      <c r="P2402" t="s">
        <v>3886</v>
      </c>
      <c r="Q2402" t="b">
        <v>1</v>
      </c>
      <c r="S2402" t="str">
        <f>"9780310200178"</f>
        <v>9780310200178</v>
      </c>
      <c r="T2402" t="str">
        <f>"9780310860600"</f>
        <v>9780310860600</v>
      </c>
      <c r="U2402" t="b">
        <v>0</v>
      </c>
      <c r="W2402" t="b">
        <v>0</v>
      </c>
    </row>
    <row r="2403" spans="1:23" x14ac:dyDescent="0.3">
      <c r="A2403">
        <v>2980280</v>
      </c>
      <c r="B2403">
        <v>55.17</v>
      </c>
      <c r="C2403" t="s">
        <v>5350</v>
      </c>
      <c r="D2403" t="s">
        <v>5351</v>
      </c>
      <c r="E2403" t="s">
        <v>23</v>
      </c>
      <c r="F2403" t="s">
        <v>44</v>
      </c>
      <c r="G2403">
        <v>2016</v>
      </c>
      <c r="H2403" t="s">
        <v>912</v>
      </c>
      <c r="K2403" t="s">
        <v>25</v>
      </c>
      <c r="L2403" t="s">
        <v>26</v>
      </c>
      <c r="M2403" t="b">
        <v>1</v>
      </c>
      <c r="N2403" t="s">
        <v>5352</v>
      </c>
      <c r="Q2403" t="b">
        <v>0</v>
      </c>
      <c r="S2403" t="str">
        <f>"9780310344964"</f>
        <v>9780310344964</v>
      </c>
      <c r="T2403" t="str">
        <f>"9780310344988"</f>
        <v>9780310344988</v>
      </c>
      <c r="U2403" t="b">
        <v>0</v>
      </c>
      <c r="W2403" t="b">
        <v>0</v>
      </c>
    </row>
    <row r="2404" spans="1:23" x14ac:dyDescent="0.3">
      <c r="A2404">
        <v>2980279</v>
      </c>
      <c r="B2404">
        <v>65.52</v>
      </c>
      <c r="C2404" t="s">
        <v>5353</v>
      </c>
      <c r="D2404" t="s">
        <v>5354</v>
      </c>
      <c r="E2404" t="s">
        <v>23</v>
      </c>
      <c r="F2404" t="s">
        <v>44</v>
      </c>
      <c r="G2404">
        <v>2017</v>
      </c>
      <c r="H2404" t="s">
        <v>132</v>
      </c>
      <c r="K2404" t="s">
        <v>25</v>
      </c>
      <c r="L2404" t="s">
        <v>26</v>
      </c>
      <c r="M2404" t="b">
        <v>1</v>
      </c>
      <c r="N2404" t="s">
        <v>918</v>
      </c>
      <c r="Q2404" t="b">
        <v>0</v>
      </c>
      <c r="S2404" t="str">
        <f>"9780310089629"</f>
        <v>9780310089629</v>
      </c>
      <c r="T2404" t="str">
        <f>"9780310089636"</f>
        <v>9780310089636</v>
      </c>
      <c r="U2404" t="b">
        <v>0</v>
      </c>
      <c r="W2404" t="b">
        <v>0</v>
      </c>
    </row>
    <row r="2405" spans="1:23" x14ac:dyDescent="0.3">
      <c r="A2405">
        <v>2980278</v>
      </c>
      <c r="B2405">
        <v>88.8</v>
      </c>
      <c r="C2405" t="s">
        <v>5355</v>
      </c>
      <c r="D2405" t="s">
        <v>5356</v>
      </c>
      <c r="E2405" t="s">
        <v>23</v>
      </c>
      <c r="F2405" t="s">
        <v>44</v>
      </c>
      <c r="G2405">
        <v>2021</v>
      </c>
      <c r="H2405" t="s">
        <v>772</v>
      </c>
      <c r="K2405" t="s">
        <v>25</v>
      </c>
      <c r="L2405" t="s">
        <v>30</v>
      </c>
      <c r="M2405" t="b">
        <v>1</v>
      </c>
      <c r="N2405" t="s">
        <v>773</v>
      </c>
      <c r="P2405" t="s">
        <v>4663</v>
      </c>
      <c r="Q2405" t="b">
        <v>1</v>
      </c>
      <c r="T2405" t="str">
        <f>"9780310364139"</f>
        <v>9780310364139</v>
      </c>
      <c r="U2405" t="b">
        <v>0</v>
      </c>
      <c r="W2405" t="b">
        <v>0</v>
      </c>
    </row>
    <row r="2406" spans="1:23" x14ac:dyDescent="0.3">
      <c r="A2406">
        <v>2980277</v>
      </c>
      <c r="B2406">
        <v>10.63</v>
      </c>
      <c r="C2406" t="s">
        <v>5357</v>
      </c>
      <c r="D2406" t="s">
        <v>138</v>
      </c>
      <c r="E2406" t="s">
        <v>23</v>
      </c>
      <c r="F2406" t="s">
        <v>44</v>
      </c>
      <c r="G2406">
        <v>2010</v>
      </c>
      <c r="H2406" t="s">
        <v>34</v>
      </c>
      <c r="K2406" t="s">
        <v>25</v>
      </c>
      <c r="L2406" t="s">
        <v>30</v>
      </c>
      <c r="M2406" t="b">
        <v>1</v>
      </c>
      <c r="N2406" t="s">
        <v>139</v>
      </c>
      <c r="P2406" t="s">
        <v>140</v>
      </c>
      <c r="Q2406" t="b">
        <v>1</v>
      </c>
      <c r="T2406" t="str">
        <f>"9780310424635"</f>
        <v>9780310424635</v>
      </c>
      <c r="U2406" t="b">
        <v>0</v>
      </c>
      <c r="W2406" t="b">
        <v>0</v>
      </c>
    </row>
    <row r="2407" spans="1:23" x14ac:dyDescent="0.3">
      <c r="A2407">
        <v>2980276</v>
      </c>
      <c r="B2407">
        <v>14.18</v>
      </c>
      <c r="C2407" t="s">
        <v>5358</v>
      </c>
      <c r="D2407" t="s">
        <v>2659</v>
      </c>
      <c r="E2407" t="s">
        <v>23</v>
      </c>
      <c r="F2407" t="s">
        <v>44</v>
      </c>
      <c r="G2407">
        <v>2018</v>
      </c>
      <c r="H2407" t="s">
        <v>772</v>
      </c>
      <c r="K2407" t="s">
        <v>25</v>
      </c>
      <c r="L2407" t="s">
        <v>30</v>
      </c>
      <c r="M2407" t="b">
        <v>1</v>
      </c>
      <c r="N2407" t="s">
        <v>742</v>
      </c>
      <c r="Q2407" t="b">
        <v>1</v>
      </c>
      <c r="T2407" t="str">
        <f>"9780785218357"</f>
        <v>9780785218357</v>
      </c>
      <c r="U2407" t="b">
        <v>0</v>
      </c>
      <c r="W2407" t="b">
        <v>0</v>
      </c>
    </row>
    <row r="2408" spans="1:23" x14ac:dyDescent="0.3">
      <c r="A2408">
        <v>2980275</v>
      </c>
      <c r="B2408">
        <v>79.319999999999993</v>
      </c>
      <c r="C2408" t="s">
        <v>5359</v>
      </c>
      <c r="D2408" t="s">
        <v>5360</v>
      </c>
      <c r="E2408" t="s">
        <v>23</v>
      </c>
      <c r="F2408" t="s">
        <v>44</v>
      </c>
      <c r="G2408">
        <v>2020</v>
      </c>
      <c r="H2408" t="s">
        <v>1032</v>
      </c>
      <c r="I2408" t="s">
        <v>5361</v>
      </c>
      <c r="J2408" t="s">
        <v>5362</v>
      </c>
      <c r="K2408" t="s">
        <v>25</v>
      </c>
      <c r="L2408" t="s">
        <v>26</v>
      </c>
      <c r="M2408" t="b">
        <v>1</v>
      </c>
      <c r="N2408" t="s">
        <v>5363</v>
      </c>
      <c r="O2408" t="str">
        <f>"233.5"</f>
        <v>233.5</v>
      </c>
      <c r="P2408" t="s">
        <v>4112</v>
      </c>
      <c r="Q2408" t="b">
        <v>0</v>
      </c>
      <c r="S2408" t="str">
        <f>"9780310113171"</f>
        <v>9780310113171</v>
      </c>
      <c r="T2408" t="str">
        <f>"9780310113188"</f>
        <v>9780310113188</v>
      </c>
      <c r="U2408" t="b">
        <v>0</v>
      </c>
      <c r="W2408" t="b">
        <v>0</v>
      </c>
    </row>
    <row r="2409" spans="1:23" x14ac:dyDescent="0.3">
      <c r="A2409">
        <v>2980274</v>
      </c>
      <c r="B2409">
        <v>35.5</v>
      </c>
      <c r="C2409" t="s">
        <v>5364</v>
      </c>
      <c r="E2409" t="s">
        <v>23</v>
      </c>
      <c r="F2409" t="s">
        <v>44</v>
      </c>
      <c r="G2409">
        <v>2009</v>
      </c>
      <c r="H2409" t="s">
        <v>62</v>
      </c>
      <c r="K2409" t="s">
        <v>25</v>
      </c>
      <c r="L2409" t="s">
        <v>30</v>
      </c>
      <c r="M2409" t="b">
        <v>1</v>
      </c>
      <c r="N2409" t="s">
        <v>5365</v>
      </c>
      <c r="Q2409" t="b">
        <v>0</v>
      </c>
      <c r="T2409" t="str">
        <f>"9780310862024"</f>
        <v>9780310862024</v>
      </c>
      <c r="U2409" t="b">
        <v>0</v>
      </c>
      <c r="W2409" t="b">
        <v>0</v>
      </c>
    </row>
    <row r="2410" spans="1:23" x14ac:dyDescent="0.3">
      <c r="A2410">
        <v>2980273</v>
      </c>
      <c r="B2410">
        <v>51.72</v>
      </c>
      <c r="C2410" t="s">
        <v>5366</v>
      </c>
      <c r="E2410" t="s">
        <v>23</v>
      </c>
      <c r="F2410" t="s">
        <v>44</v>
      </c>
      <c r="G2410">
        <v>2009</v>
      </c>
      <c r="H2410" t="s">
        <v>67</v>
      </c>
      <c r="K2410" t="s">
        <v>25</v>
      </c>
      <c r="L2410" t="s">
        <v>30</v>
      </c>
      <c r="M2410" t="b">
        <v>1</v>
      </c>
      <c r="N2410" t="s">
        <v>3353</v>
      </c>
      <c r="P2410" t="s">
        <v>3354</v>
      </c>
      <c r="Q2410" t="b">
        <v>1</v>
      </c>
      <c r="S2410" t="str">
        <f>"9780310278726"</f>
        <v>9780310278726</v>
      </c>
      <c r="T2410" t="str">
        <f>"9780310563105"</f>
        <v>9780310563105</v>
      </c>
      <c r="U2410" t="b">
        <v>0</v>
      </c>
      <c r="W2410" t="b">
        <v>0</v>
      </c>
    </row>
    <row r="2411" spans="1:23" x14ac:dyDescent="0.3">
      <c r="A2411">
        <v>2980272</v>
      </c>
      <c r="B2411">
        <v>14.18</v>
      </c>
      <c r="C2411" t="s">
        <v>5367</v>
      </c>
      <c r="D2411" t="s">
        <v>4948</v>
      </c>
      <c r="E2411" t="s">
        <v>23</v>
      </c>
      <c r="F2411" t="s">
        <v>44</v>
      </c>
      <c r="G2411">
        <v>2019</v>
      </c>
      <c r="H2411" t="s">
        <v>772</v>
      </c>
      <c r="K2411" t="s">
        <v>25</v>
      </c>
      <c r="L2411" t="s">
        <v>30</v>
      </c>
      <c r="M2411" t="b">
        <v>1</v>
      </c>
      <c r="N2411" t="s">
        <v>742</v>
      </c>
      <c r="Q2411" t="b">
        <v>1</v>
      </c>
      <c r="T2411" t="str">
        <f>"9780310352761"</f>
        <v>9780310352761</v>
      </c>
      <c r="U2411" t="b">
        <v>0</v>
      </c>
      <c r="W2411" t="b">
        <v>0</v>
      </c>
    </row>
    <row r="2412" spans="1:23" x14ac:dyDescent="0.3">
      <c r="A2412">
        <v>2980271</v>
      </c>
      <c r="B2412">
        <v>34.47</v>
      </c>
      <c r="C2412" t="s">
        <v>5368</v>
      </c>
      <c r="E2412" t="s">
        <v>23</v>
      </c>
      <c r="F2412" t="s">
        <v>44</v>
      </c>
      <c r="G2412">
        <v>2010</v>
      </c>
      <c r="H2412" t="s">
        <v>5369</v>
      </c>
      <c r="K2412" t="s">
        <v>25</v>
      </c>
      <c r="L2412" t="s">
        <v>30</v>
      </c>
      <c r="M2412" t="b">
        <v>1</v>
      </c>
      <c r="N2412" t="s">
        <v>3377</v>
      </c>
      <c r="Q2412" t="b">
        <v>0</v>
      </c>
      <c r="S2412" t="str">
        <f>"9780310242031"</f>
        <v>9780310242031</v>
      </c>
      <c r="T2412" t="str">
        <f>"9780310871767"</f>
        <v>9780310871767</v>
      </c>
      <c r="U2412" t="b">
        <v>0</v>
      </c>
      <c r="W2412" t="b">
        <v>0</v>
      </c>
    </row>
    <row r="2413" spans="1:23" x14ac:dyDescent="0.3">
      <c r="A2413">
        <v>2980270</v>
      </c>
      <c r="B2413">
        <v>51.72</v>
      </c>
      <c r="C2413" t="s">
        <v>5370</v>
      </c>
      <c r="D2413" t="s">
        <v>5371</v>
      </c>
      <c r="E2413" t="s">
        <v>23</v>
      </c>
      <c r="F2413" t="s">
        <v>44</v>
      </c>
      <c r="G2413">
        <v>2009</v>
      </c>
      <c r="H2413" t="s">
        <v>58</v>
      </c>
      <c r="K2413" t="s">
        <v>25</v>
      </c>
      <c r="L2413" t="s">
        <v>30</v>
      </c>
      <c r="M2413" t="b">
        <v>1</v>
      </c>
      <c r="N2413" t="s">
        <v>2641</v>
      </c>
      <c r="Q2413" t="b">
        <v>0</v>
      </c>
      <c r="S2413" t="str">
        <f>"9780310292005"</f>
        <v>9780310292005</v>
      </c>
      <c r="T2413" t="str">
        <f>"9780310857907"</f>
        <v>9780310857907</v>
      </c>
      <c r="U2413" t="b">
        <v>0</v>
      </c>
      <c r="W2413" t="b">
        <v>0</v>
      </c>
    </row>
    <row r="2414" spans="1:23" x14ac:dyDescent="0.3">
      <c r="A2414">
        <v>2980269</v>
      </c>
      <c r="B2414">
        <v>79.319999999999993</v>
      </c>
      <c r="C2414" t="s">
        <v>5372</v>
      </c>
      <c r="D2414" t="s">
        <v>5373</v>
      </c>
      <c r="E2414" t="s">
        <v>23</v>
      </c>
      <c r="F2414" t="s">
        <v>44</v>
      </c>
      <c r="G2414">
        <v>2021</v>
      </c>
      <c r="H2414" t="s">
        <v>822</v>
      </c>
      <c r="I2414" t="s">
        <v>1207</v>
      </c>
      <c r="J2414" t="s">
        <v>5374</v>
      </c>
      <c r="K2414" t="s">
        <v>25</v>
      </c>
      <c r="L2414" t="s">
        <v>26</v>
      </c>
      <c r="M2414" t="b">
        <v>1</v>
      </c>
      <c r="N2414" t="s">
        <v>5375</v>
      </c>
      <c r="O2414" t="str">
        <f>"261.8"</f>
        <v>261.8</v>
      </c>
      <c r="Q2414" t="b">
        <v>0</v>
      </c>
      <c r="S2414" t="str">
        <f>"9780310108917"</f>
        <v>9780310108917</v>
      </c>
      <c r="T2414" t="str">
        <f>"9780310108924"</f>
        <v>9780310108924</v>
      </c>
      <c r="U2414" t="b">
        <v>0</v>
      </c>
      <c r="W2414" t="b">
        <v>0</v>
      </c>
    </row>
    <row r="2415" spans="1:23" x14ac:dyDescent="0.3">
      <c r="A2415">
        <v>2980268</v>
      </c>
      <c r="B2415">
        <v>86.22</v>
      </c>
      <c r="C2415" t="s">
        <v>5376</v>
      </c>
      <c r="D2415" t="s">
        <v>1216</v>
      </c>
      <c r="E2415" t="s">
        <v>23</v>
      </c>
      <c r="F2415" t="s">
        <v>44</v>
      </c>
      <c r="G2415">
        <v>2017</v>
      </c>
      <c r="H2415" t="s">
        <v>132</v>
      </c>
      <c r="K2415" t="s">
        <v>25</v>
      </c>
      <c r="L2415" t="s">
        <v>26</v>
      </c>
      <c r="M2415" t="b">
        <v>1</v>
      </c>
      <c r="N2415" t="s">
        <v>992</v>
      </c>
      <c r="Q2415" t="b">
        <v>0</v>
      </c>
      <c r="S2415" t="str">
        <f>"9780310365372"</f>
        <v>9780310365372</v>
      </c>
      <c r="T2415" t="str">
        <f>"9780310089810"</f>
        <v>9780310089810</v>
      </c>
      <c r="U2415" t="b">
        <v>0</v>
      </c>
      <c r="W2415" t="b">
        <v>0</v>
      </c>
    </row>
    <row r="2416" spans="1:23" x14ac:dyDescent="0.3">
      <c r="A2416">
        <v>2980267</v>
      </c>
      <c r="B2416">
        <v>55.17</v>
      </c>
      <c r="C2416" t="s">
        <v>5377</v>
      </c>
      <c r="E2416" t="s">
        <v>23</v>
      </c>
      <c r="F2416" t="s">
        <v>44</v>
      </c>
      <c r="G2416">
        <v>2009</v>
      </c>
      <c r="H2416" t="s">
        <v>66</v>
      </c>
      <c r="K2416" t="s">
        <v>25</v>
      </c>
      <c r="L2416" t="s">
        <v>30</v>
      </c>
      <c r="M2416" t="b">
        <v>1</v>
      </c>
      <c r="N2416" t="s">
        <v>77</v>
      </c>
      <c r="P2416" t="s">
        <v>3054</v>
      </c>
      <c r="Q2416" t="b">
        <v>1</v>
      </c>
      <c r="S2416" t="str">
        <f>"9780310342793"</f>
        <v>9780310342793</v>
      </c>
      <c r="T2416" t="str">
        <f>"9780310860129"</f>
        <v>9780310860129</v>
      </c>
      <c r="U2416" t="b">
        <v>0</v>
      </c>
      <c r="W2416" t="b">
        <v>0</v>
      </c>
    </row>
    <row r="2417" spans="1:23" x14ac:dyDescent="0.3">
      <c r="A2417">
        <v>2980266</v>
      </c>
      <c r="B2417">
        <v>68.97</v>
      </c>
      <c r="C2417" t="s">
        <v>5378</v>
      </c>
      <c r="D2417" t="s">
        <v>5379</v>
      </c>
      <c r="E2417" t="s">
        <v>23</v>
      </c>
      <c r="F2417" t="s">
        <v>44</v>
      </c>
      <c r="G2417">
        <v>2018</v>
      </c>
      <c r="H2417" t="s">
        <v>5380</v>
      </c>
      <c r="K2417" t="s">
        <v>25</v>
      </c>
      <c r="L2417" t="s">
        <v>26</v>
      </c>
      <c r="M2417" t="b">
        <v>1</v>
      </c>
      <c r="N2417" t="s">
        <v>5381</v>
      </c>
      <c r="Q2417" t="b">
        <v>0</v>
      </c>
      <c r="S2417" t="str">
        <f>"9780310767602"</f>
        <v>9780310767602</v>
      </c>
      <c r="T2417" t="str">
        <f>"9780310767619"</f>
        <v>9780310767619</v>
      </c>
      <c r="U2417" t="b">
        <v>0</v>
      </c>
      <c r="W2417" t="b">
        <v>0</v>
      </c>
    </row>
    <row r="2418" spans="1:23" x14ac:dyDescent="0.3">
      <c r="A2418">
        <v>2980265</v>
      </c>
      <c r="B2418">
        <v>55.17</v>
      </c>
      <c r="C2418" t="s">
        <v>5382</v>
      </c>
      <c r="D2418" t="s">
        <v>5383</v>
      </c>
      <c r="E2418" t="s">
        <v>23</v>
      </c>
      <c r="F2418" t="s">
        <v>44</v>
      </c>
      <c r="G2418">
        <v>2014</v>
      </c>
      <c r="H2418" t="s">
        <v>62</v>
      </c>
      <c r="K2418" t="s">
        <v>25</v>
      </c>
      <c r="L2418" t="s">
        <v>30</v>
      </c>
      <c r="M2418" t="b">
        <v>1</v>
      </c>
      <c r="N2418" t="s">
        <v>5384</v>
      </c>
      <c r="Q2418" t="b">
        <v>0</v>
      </c>
      <c r="S2418" t="str">
        <f>"9780310337607"</f>
        <v>9780310337607</v>
      </c>
      <c r="T2418" t="str">
        <f>"9780310337638"</f>
        <v>9780310337638</v>
      </c>
      <c r="U2418" t="b">
        <v>0</v>
      </c>
      <c r="W2418" t="b">
        <v>0</v>
      </c>
    </row>
    <row r="2419" spans="1:23" x14ac:dyDescent="0.3">
      <c r="A2419">
        <v>2980264</v>
      </c>
      <c r="B2419">
        <v>127.89</v>
      </c>
      <c r="C2419" t="s">
        <v>5385</v>
      </c>
      <c r="D2419" t="s">
        <v>2265</v>
      </c>
      <c r="E2419" t="s">
        <v>23</v>
      </c>
      <c r="F2419" t="s">
        <v>44</v>
      </c>
      <c r="G2419">
        <v>2016</v>
      </c>
      <c r="H2419" t="s">
        <v>5386</v>
      </c>
      <c r="K2419" t="s">
        <v>25</v>
      </c>
      <c r="L2419" t="s">
        <v>26</v>
      </c>
      <c r="M2419" t="b">
        <v>1</v>
      </c>
      <c r="N2419" t="s">
        <v>44</v>
      </c>
      <c r="P2419" t="s">
        <v>2241</v>
      </c>
      <c r="Q2419" t="b">
        <v>0</v>
      </c>
      <c r="S2419" t="str">
        <f>"9780310003687"</f>
        <v>9780310003687</v>
      </c>
      <c r="T2419" t="str">
        <f>"9780310003700"</f>
        <v>9780310003700</v>
      </c>
      <c r="U2419" t="b">
        <v>0</v>
      </c>
      <c r="W2419" t="b">
        <v>0</v>
      </c>
    </row>
    <row r="2420" spans="1:23" x14ac:dyDescent="0.3">
      <c r="A2420">
        <v>2980263</v>
      </c>
      <c r="B2420">
        <v>55.17</v>
      </c>
      <c r="C2420" t="s">
        <v>5387</v>
      </c>
      <c r="E2420" t="s">
        <v>23</v>
      </c>
      <c r="F2420" t="s">
        <v>44</v>
      </c>
      <c r="G2420">
        <v>2012</v>
      </c>
      <c r="H2420" t="s">
        <v>74</v>
      </c>
      <c r="K2420" t="s">
        <v>25</v>
      </c>
      <c r="L2420" t="s">
        <v>30</v>
      </c>
      <c r="M2420" t="b">
        <v>1</v>
      </c>
      <c r="N2420" t="s">
        <v>3144</v>
      </c>
      <c r="P2420" t="s">
        <v>3145</v>
      </c>
      <c r="Q2420" t="b">
        <v>1</v>
      </c>
      <c r="S2420" t="str">
        <f>"9780310335108"</f>
        <v>9780310335108</v>
      </c>
      <c r="T2420" t="str">
        <f>"9780310335115"</f>
        <v>9780310335115</v>
      </c>
      <c r="U2420" t="b">
        <v>0</v>
      </c>
      <c r="W2420" t="b">
        <v>0</v>
      </c>
    </row>
    <row r="2421" spans="1:23" x14ac:dyDescent="0.3">
      <c r="A2421">
        <v>2980262</v>
      </c>
      <c r="B2421">
        <v>35.5</v>
      </c>
      <c r="C2421" t="s">
        <v>5388</v>
      </c>
      <c r="E2421" t="s">
        <v>23</v>
      </c>
      <c r="F2421" t="s">
        <v>44</v>
      </c>
      <c r="G2421">
        <v>2009</v>
      </c>
      <c r="H2421" t="s">
        <v>2933</v>
      </c>
      <c r="K2421" t="s">
        <v>25</v>
      </c>
      <c r="L2421" t="s">
        <v>30</v>
      </c>
      <c r="M2421" t="b">
        <v>1</v>
      </c>
      <c r="N2421" t="s">
        <v>2616</v>
      </c>
      <c r="Q2421" t="b">
        <v>0</v>
      </c>
      <c r="T2421" t="str">
        <f>"9780310868408"</f>
        <v>9780310868408</v>
      </c>
      <c r="U2421" t="b">
        <v>0</v>
      </c>
      <c r="W2421" t="b">
        <v>0</v>
      </c>
    </row>
    <row r="2422" spans="1:23" x14ac:dyDescent="0.3">
      <c r="A2422">
        <v>2980261</v>
      </c>
      <c r="B2422">
        <v>55.17</v>
      </c>
      <c r="C2422" t="s">
        <v>5389</v>
      </c>
      <c r="E2422" t="s">
        <v>23</v>
      </c>
      <c r="F2422" t="s">
        <v>44</v>
      </c>
      <c r="G2422">
        <v>2016</v>
      </c>
      <c r="H2422" t="s">
        <v>728</v>
      </c>
      <c r="K2422" t="s">
        <v>25</v>
      </c>
      <c r="L2422" t="s">
        <v>26</v>
      </c>
      <c r="M2422" t="b">
        <v>1</v>
      </c>
      <c r="N2422" t="s">
        <v>4128</v>
      </c>
      <c r="Q2422" t="b">
        <v>1</v>
      </c>
      <c r="S2422" t="str">
        <f>"9780310341543"</f>
        <v>9780310341543</v>
      </c>
      <c r="T2422" t="str">
        <f>"9780310343493"</f>
        <v>9780310343493</v>
      </c>
      <c r="U2422" t="b">
        <v>0</v>
      </c>
      <c r="W2422" t="b">
        <v>0</v>
      </c>
    </row>
    <row r="2423" spans="1:23" x14ac:dyDescent="0.3">
      <c r="A2423">
        <v>2980260</v>
      </c>
      <c r="B2423">
        <v>58.62</v>
      </c>
      <c r="C2423" t="s">
        <v>5390</v>
      </c>
      <c r="D2423" t="s">
        <v>5391</v>
      </c>
      <c r="E2423" t="s">
        <v>23</v>
      </c>
      <c r="F2423" t="s">
        <v>44</v>
      </c>
      <c r="G2423">
        <v>2018</v>
      </c>
      <c r="H2423" t="s">
        <v>759</v>
      </c>
      <c r="K2423" t="s">
        <v>25</v>
      </c>
      <c r="L2423" t="s">
        <v>26</v>
      </c>
      <c r="M2423" t="b">
        <v>1</v>
      </c>
      <c r="N2423" t="s">
        <v>3938</v>
      </c>
      <c r="Q2423" t="b">
        <v>0</v>
      </c>
      <c r="S2423" t="str">
        <f>"9780310341932"</f>
        <v>9780310341932</v>
      </c>
      <c r="T2423" t="str">
        <f>"9780310341949"</f>
        <v>9780310341949</v>
      </c>
      <c r="U2423" t="b">
        <v>0</v>
      </c>
      <c r="W2423" t="b">
        <v>0</v>
      </c>
    </row>
    <row r="2424" spans="1:23" x14ac:dyDescent="0.3">
      <c r="A2424">
        <v>2980259</v>
      </c>
      <c r="B2424">
        <v>58.62</v>
      </c>
      <c r="C2424" t="s">
        <v>5392</v>
      </c>
      <c r="D2424" t="s">
        <v>5393</v>
      </c>
      <c r="E2424" t="s">
        <v>23</v>
      </c>
      <c r="F2424" t="s">
        <v>44</v>
      </c>
      <c r="G2424">
        <v>2018</v>
      </c>
      <c r="H2424" t="s">
        <v>1080</v>
      </c>
      <c r="K2424" t="s">
        <v>25</v>
      </c>
      <c r="L2424" t="s">
        <v>26</v>
      </c>
      <c r="M2424" t="b">
        <v>1</v>
      </c>
      <c r="N2424" t="s">
        <v>5394</v>
      </c>
      <c r="Q2424" t="b">
        <v>0</v>
      </c>
      <c r="S2424" t="str">
        <f>"9780310347774"</f>
        <v>9780310347774</v>
      </c>
      <c r="T2424" t="str">
        <f>"9780310347781"</f>
        <v>9780310347781</v>
      </c>
      <c r="U2424" t="b">
        <v>0</v>
      </c>
      <c r="W2424" t="b">
        <v>0</v>
      </c>
    </row>
    <row r="2425" spans="1:23" x14ac:dyDescent="0.3">
      <c r="A2425">
        <v>2980258</v>
      </c>
      <c r="B2425">
        <v>34.47</v>
      </c>
      <c r="C2425" t="s">
        <v>5395</v>
      </c>
      <c r="E2425" t="s">
        <v>23</v>
      </c>
      <c r="F2425" t="s">
        <v>44</v>
      </c>
      <c r="G2425">
        <v>2014</v>
      </c>
      <c r="H2425" t="s">
        <v>3147</v>
      </c>
      <c r="K2425" t="s">
        <v>25</v>
      </c>
      <c r="L2425" t="s">
        <v>30</v>
      </c>
      <c r="M2425" t="b">
        <v>1</v>
      </c>
      <c r="N2425" t="s">
        <v>776</v>
      </c>
      <c r="Q2425" t="b">
        <v>0</v>
      </c>
      <c r="S2425" t="str">
        <f>"9780310736691"</f>
        <v>9780310736691</v>
      </c>
      <c r="T2425" t="str">
        <f>"9780310736714"</f>
        <v>9780310736714</v>
      </c>
      <c r="U2425" t="b">
        <v>0</v>
      </c>
      <c r="W2425" t="b">
        <v>0</v>
      </c>
    </row>
    <row r="2426" spans="1:23" x14ac:dyDescent="0.3">
      <c r="A2426">
        <v>2980257</v>
      </c>
      <c r="B2426">
        <v>51.72</v>
      </c>
      <c r="C2426" t="s">
        <v>5396</v>
      </c>
      <c r="D2426" t="s">
        <v>1405</v>
      </c>
      <c r="E2426" t="s">
        <v>23</v>
      </c>
      <c r="F2426" t="s">
        <v>44</v>
      </c>
      <c r="G2426">
        <v>2009</v>
      </c>
      <c r="H2426" t="s">
        <v>2535</v>
      </c>
      <c r="K2426" t="s">
        <v>25</v>
      </c>
      <c r="L2426" t="s">
        <v>30</v>
      </c>
      <c r="M2426" t="b">
        <v>1</v>
      </c>
      <c r="N2426" t="s">
        <v>5397</v>
      </c>
      <c r="Q2426" t="b">
        <v>1</v>
      </c>
      <c r="S2426" t="str">
        <f>"9780310243052"</f>
        <v>9780310243052</v>
      </c>
      <c r="T2426" t="str">
        <f>"9780310865575"</f>
        <v>9780310865575</v>
      </c>
      <c r="U2426" t="b">
        <v>0</v>
      </c>
      <c r="W2426" t="b">
        <v>0</v>
      </c>
    </row>
    <row r="2427" spans="1:23" x14ac:dyDescent="0.3">
      <c r="A2427">
        <v>2980256</v>
      </c>
      <c r="B2427">
        <v>35.5</v>
      </c>
      <c r="C2427" t="s">
        <v>5398</v>
      </c>
      <c r="D2427" t="s">
        <v>5399</v>
      </c>
      <c r="E2427" t="s">
        <v>23</v>
      </c>
      <c r="F2427" t="s">
        <v>44</v>
      </c>
      <c r="G2427">
        <v>2010</v>
      </c>
      <c r="H2427" t="s">
        <v>56</v>
      </c>
      <c r="K2427" t="s">
        <v>25</v>
      </c>
      <c r="L2427" t="s">
        <v>30</v>
      </c>
      <c r="M2427" t="b">
        <v>1</v>
      </c>
      <c r="N2427" t="s">
        <v>5400</v>
      </c>
      <c r="Q2427" t="b">
        <v>0</v>
      </c>
      <c r="T2427" t="str">
        <f>"9780310877660"</f>
        <v>9780310877660</v>
      </c>
      <c r="U2427" t="b">
        <v>0</v>
      </c>
      <c r="W2427" t="b">
        <v>0</v>
      </c>
    </row>
    <row r="2428" spans="1:23" x14ac:dyDescent="0.3">
      <c r="A2428">
        <v>2980255</v>
      </c>
      <c r="B2428">
        <v>65.52</v>
      </c>
      <c r="C2428" t="s">
        <v>5401</v>
      </c>
      <c r="D2428" t="s">
        <v>5402</v>
      </c>
      <c r="E2428" t="s">
        <v>23</v>
      </c>
      <c r="F2428" t="s">
        <v>44</v>
      </c>
      <c r="G2428">
        <v>2020</v>
      </c>
      <c r="H2428" t="s">
        <v>715</v>
      </c>
      <c r="K2428" t="s">
        <v>25</v>
      </c>
      <c r="L2428" t="s">
        <v>26</v>
      </c>
      <c r="M2428" t="b">
        <v>1</v>
      </c>
      <c r="N2428" t="s">
        <v>1014</v>
      </c>
      <c r="Q2428" t="b">
        <v>0</v>
      </c>
      <c r="S2428" t="str">
        <f>"9780310454076"</f>
        <v>9780310454076</v>
      </c>
      <c r="T2428" t="str">
        <f>"9780310454045"</f>
        <v>9780310454045</v>
      </c>
      <c r="U2428" t="b">
        <v>0</v>
      </c>
      <c r="W2428" t="b">
        <v>0</v>
      </c>
    </row>
    <row r="2429" spans="1:23" x14ac:dyDescent="0.3">
      <c r="A2429">
        <v>2980254</v>
      </c>
      <c r="B2429">
        <v>51.72</v>
      </c>
      <c r="C2429" t="s">
        <v>5403</v>
      </c>
      <c r="D2429" t="s">
        <v>5404</v>
      </c>
      <c r="E2429" t="s">
        <v>23</v>
      </c>
      <c r="F2429" t="s">
        <v>44</v>
      </c>
      <c r="G2429">
        <v>2009</v>
      </c>
      <c r="H2429" t="s">
        <v>68</v>
      </c>
      <c r="K2429" t="s">
        <v>25</v>
      </c>
      <c r="L2429" t="s">
        <v>30</v>
      </c>
      <c r="M2429" t="b">
        <v>1</v>
      </c>
      <c r="N2429" t="s">
        <v>5405</v>
      </c>
      <c r="Q2429" t="b">
        <v>0</v>
      </c>
      <c r="S2429" t="str">
        <f>"9780310270171"</f>
        <v>9780310270171</v>
      </c>
      <c r="T2429" t="str">
        <f>"9780310863472"</f>
        <v>9780310863472</v>
      </c>
      <c r="U2429" t="b">
        <v>0</v>
      </c>
      <c r="W2429" t="b">
        <v>0</v>
      </c>
    </row>
    <row r="2430" spans="1:23" x14ac:dyDescent="0.3">
      <c r="A2430">
        <v>2980253</v>
      </c>
      <c r="B2430">
        <v>71.03</v>
      </c>
      <c r="C2430" t="s">
        <v>5406</v>
      </c>
      <c r="D2430" t="s">
        <v>5407</v>
      </c>
      <c r="E2430" t="s">
        <v>23</v>
      </c>
      <c r="F2430" t="s">
        <v>44</v>
      </c>
      <c r="G2430">
        <v>2014</v>
      </c>
      <c r="H2430" t="s">
        <v>872</v>
      </c>
      <c r="K2430" t="s">
        <v>25</v>
      </c>
      <c r="L2430" t="s">
        <v>30</v>
      </c>
      <c r="M2430" t="b">
        <v>1</v>
      </c>
      <c r="N2430" t="s">
        <v>5408</v>
      </c>
      <c r="Q2430" t="b">
        <v>0</v>
      </c>
      <c r="S2430" t="str">
        <f>"9780310341031"</f>
        <v>9780310341031</v>
      </c>
      <c r="T2430" t="str">
        <f>"9780310341062"</f>
        <v>9780310341062</v>
      </c>
      <c r="U2430" t="b">
        <v>0</v>
      </c>
      <c r="W2430" t="b">
        <v>0</v>
      </c>
    </row>
    <row r="2431" spans="1:23" x14ac:dyDescent="0.3">
      <c r="A2431">
        <v>2980252</v>
      </c>
      <c r="B2431">
        <v>14.18</v>
      </c>
      <c r="C2431" t="s">
        <v>5409</v>
      </c>
      <c r="E2431" t="s">
        <v>23</v>
      </c>
      <c r="F2431" t="s">
        <v>44</v>
      </c>
      <c r="G2431">
        <v>2013</v>
      </c>
      <c r="H2431" t="s">
        <v>1212</v>
      </c>
      <c r="K2431" t="s">
        <v>25</v>
      </c>
      <c r="L2431" t="s">
        <v>30</v>
      </c>
      <c r="M2431" t="b">
        <v>1</v>
      </c>
      <c r="N2431" t="s">
        <v>5410</v>
      </c>
      <c r="P2431" t="s">
        <v>2785</v>
      </c>
      <c r="Q2431" t="b">
        <v>1</v>
      </c>
      <c r="T2431" t="str">
        <f>"9780310337706"</f>
        <v>9780310337706</v>
      </c>
      <c r="U2431" t="b">
        <v>0</v>
      </c>
      <c r="W2431" t="b">
        <v>0</v>
      </c>
    </row>
    <row r="2432" spans="1:23" x14ac:dyDescent="0.3">
      <c r="A2432">
        <v>2980251</v>
      </c>
      <c r="B2432">
        <v>39.049999999999997</v>
      </c>
      <c r="C2432" t="s">
        <v>5411</v>
      </c>
      <c r="E2432" t="s">
        <v>23</v>
      </c>
      <c r="F2432" t="s">
        <v>44</v>
      </c>
      <c r="G2432">
        <v>2009</v>
      </c>
      <c r="H2432" t="s">
        <v>99</v>
      </c>
      <c r="K2432" t="s">
        <v>25</v>
      </c>
      <c r="L2432" t="s">
        <v>30</v>
      </c>
      <c r="M2432" t="b">
        <v>1</v>
      </c>
      <c r="N2432" t="s">
        <v>3116</v>
      </c>
      <c r="Q2432" t="b">
        <v>0</v>
      </c>
      <c r="T2432" t="str">
        <f>"9780310831525"</f>
        <v>9780310831525</v>
      </c>
      <c r="U2432" t="b">
        <v>0</v>
      </c>
      <c r="W2432" t="b">
        <v>0</v>
      </c>
    </row>
    <row r="2433" spans="1:23" x14ac:dyDescent="0.3">
      <c r="A2433">
        <v>2980250</v>
      </c>
      <c r="B2433">
        <v>65.52</v>
      </c>
      <c r="C2433" t="s">
        <v>5412</v>
      </c>
      <c r="D2433" t="s">
        <v>5413</v>
      </c>
      <c r="E2433" t="s">
        <v>23</v>
      </c>
      <c r="F2433" t="s">
        <v>44</v>
      </c>
      <c r="G2433">
        <v>2016</v>
      </c>
      <c r="H2433" t="s">
        <v>780</v>
      </c>
      <c r="K2433" t="s">
        <v>25</v>
      </c>
      <c r="L2433" t="s">
        <v>26</v>
      </c>
      <c r="M2433" t="b">
        <v>1</v>
      </c>
      <c r="N2433" t="s">
        <v>4036</v>
      </c>
      <c r="Q2433" t="b">
        <v>0</v>
      </c>
      <c r="S2433" t="str">
        <f>"9780310360490"</f>
        <v>9780310360490</v>
      </c>
      <c r="T2433" t="str">
        <f>"9780310344551"</f>
        <v>9780310344551</v>
      </c>
      <c r="U2433" t="b">
        <v>0</v>
      </c>
      <c r="W2433" t="b">
        <v>0</v>
      </c>
    </row>
    <row r="2434" spans="1:23" x14ac:dyDescent="0.3">
      <c r="A2434">
        <v>2980249</v>
      </c>
      <c r="B2434">
        <v>44.82</v>
      </c>
      <c r="C2434" t="s">
        <v>5414</v>
      </c>
      <c r="D2434" t="s">
        <v>5415</v>
      </c>
      <c r="E2434" t="s">
        <v>23</v>
      </c>
      <c r="F2434" t="s">
        <v>44</v>
      </c>
      <c r="G2434">
        <v>2009</v>
      </c>
      <c r="H2434" t="s">
        <v>58</v>
      </c>
      <c r="K2434" t="s">
        <v>25</v>
      </c>
      <c r="L2434" t="s">
        <v>30</v>
      </c>
      <c r="M2434" t="b">
        <v>1</v>
      </c>
      <c r="N2434" t="s">
        <v>4965</v>
      </c>
      <c r="Q2434" t="b">
        <v>0</v>
      </c>
      <c r="S2434" t="str">
        <f>"9780310232247"</f>
        <v>9780310232247</v>
      </c>
      <c r="T2434" t="str">
        <f>"9780310862697"</f>
        <v>9780310862697</v>
      </c>
      <c r="U2434" t="b">
        <v>0</v>
      </c>
      <c r="W2434" t="b">
        <v>0</v>
      </c>
    </row>
    <row r="2435" spans="1:23" x14ac:dyDescent="0.3">
      <c r="A2435">
        <v>2980248</v>
      </c>
      <c r="B2435">
        <v>44.82</v>
      </c>
      <c r="C2435" t="s">
        <v>5416</v>
      </c>
      <c r="E2435" t="s">
        <v>23</v>
      </c>
      <c r="F2435" t="s">
        <v>44</v>
      </c>
      <c r="G2435">
        <v>2009</v>
      </c>
      <c r="H2435" t="s">
        <v>69</v>
      </c>
      <c r="K2435" t="s">
        <v>25</v>
      </c>
      <c r="L2435" t="s">
        <v>30</v>
      </c>
      <c r="M2435" t="b">
        <v>1</v>
      </c>
      <c r="N2435" t="s">
        <v>2705</v>
      </c>
      <c r="Q2435" t="b">
        <v>0</v>
      </c>
      <c r="S2435" t="str">
        <f>"9780310242819"</f>
        <v>9780310242819</v>
      </c>
      <c r="T2435" t="str">
        <f>"9780310831884"</f>
        <v>9780310831884</v>
      </c>
      <c r="U2435" t="b">
        <v>0</v>
      </c>
      <c r="W2435" t="b">
        <v>0</v>
      </c>
    </row>
    <row r="2436" spans="1:23" x14ac:dyDescent="0.3">
      <c r="A2436">
        <v>2980247</v>
      </c>
      <c r="B2436">
        <v>14.18</v>
      </c>
      <c r="C2436" t="s">
        <v>5417</v>
      </c>
      <c r="D2436" t="s">
        <v>5418</v>
      </c>
      <c r="E2436" t="s">
        <v>23</v>
      </c>
      <c r="F2436" t="s">
        <v>44</v>
      </c>
      <c r="G2436">
        <v>2010</v>
      </c>
      <c r="H2436" t="s">
        <v>62</v>
      </c>
      <c r="K2436" t="s">
        <v>25</v>
      </c>
      <c r="L2436" t="s">
        <v>26</v>
      </c>
      <c r="M2436" t="b">
        <v>1</v>
      </c>
      <c r="N2436" t="s">
        <v>63</v>
      </c>
      <c r="P2436" t="s">
        <v>64</v>
      </c>
      <c r="Q2436" t="b">
        <v>0</v>
      </c>
      <c r="T2436" t="str">
        <f>"9780310865964"</f>
        <v>9780310865964</v>
      </c>
      <c r="U2436" t="b">
        <v>0</v>
      </c>
      <c r="W2436" t="b">
        <v>0</v>
      </c>
    </row>
    <row r="2437" spans="1:23" x14ac:dyDescent="0.3">
      <c r="A2437">
        <v>2980246</v>
      </c>
      <c r="B2437">
        <v>42.61</v>
      </c>
      <c r="C2437" t="s">
        <v>5419</v>
      </c>
      <c r="D2437" t="s">
        <v>5420</v>
      </c>
      <c r="E2437" t="s">
        <v>23</v>
      </c>
      <c r="F2437" t="s">
        <v>44</v>
      </c>
      <c r="G2437">
        <v>2011</v>
      </c>
      <c r="H2437" t="s">
        <v>74</v>
      </c>
      <c r="K2437" t="s">
        <v>25</v>
      </c>
      <c r="L2437" t="s">
        <v>30</v>
      </c>
      <c r="M2437" t="b">
        <v>1</v>
      </c>
      <c r="N2437" t="s">
        <v>776</v>
      </c>
      <c r="Q2437" t="b">
        <v>1</v>
      </c>
      <c r="T2437" t="str">
        <f>"9780310590361"</f>
        <v>9780310590361</v>
      </c>
      <c r="U2437" t="b">
        <v>0</v>
      </c>
      <c r="W2437" t="b">
        <v>0</v>
      </c>
    </row>
    <row r="2438" spans="1:23" x14ac:dyDescent="0.3">
      <c r="A2438">
        <v>2980245</v>
      </c>
      <c r="B2438">
        <v>58.62</v>
      </c>
      <c r="C2438" t="s">
        <v>5421</v>
      </c>
      <c r="D2438" t="s">
        <v>5422</v>
      </c>
      <c r="E2438" t="s">
        <v>23</v>
      </c>
      <c r="F2438" t="s">
        <v>44</v>
      </c>
      <c r="G2438">
        <v>2009</v>
      </c>
      <c r="H2438" t="s">
        <v>58</v>
      </c>
      <c r="K2438" t="s">
        <v>25</v>
      </c>
      <c r="L2438" t="s">
        <v>30</v>
      </c>
      <c r="M2438" t="b">
        <v>1</v>
      </c>
      <c r="N2438" t="s">
        <v>2641</v>
      </c>
      <c r="Q2438" t="b">
        <v>0</v>
      </c>
      <c r="S2438" t="str">
        <f>"9780310254195"</f>
        <v>9780310254195</v>
      </c>
      <c r="T2438" t="str">
        <f>"9780310828525"</f>
        <v>9780310828525</v>
      </c>
      <c r="U2438" t="b">
        <v>0</v>
      </c>
      <c r="W2438" t="b">
        <v>0</v>
      </c>
    </row>
    <row r="2439" spans="1:23" x14ac:dyDescent="0.3">
      <c r="A2439">
        <v>2980244</v>
      </c>
      <c r="B2439">
        <v>35.5</v>
      </c>
      <c r="C2439" t="s">
        <v>5423</v>
      </c>
      <c r="D2439" t="s">
        <v>5424</v>
      </c>
      <c r="E2439" t="s">
        <v>23</v>
      </c>
      <c r="F2439" t="s">
        <v>44</v>
      </c>
      <c r="G2439">
        <v>2010</v>
      </c>
      <c r="H2439" t="s">
        <v>89</v>
      </c>
      <c r="K2439" t="s">
        <v>25</v>
      </c>
      <c r="L2439" t="s">
        <v>30</v>
      </c>
      <c r="M2439" t="b">
        <v>1</v>
      </c>
      <c r="N2439" t="s">
        <v>5425</v>
      </c>
      <c r="Q2439" t="b">
        <v>0</v>
      </c>
      <c r="T2439" t="str">
        <f>"9780310332770"</f>
        <v>9780310332770</v>
      </c>
      <c r="U2439" t="b">
        <v>0</v>
      </c>
      <c r="W2439" t="b">
        <v>0</v>
      </c>
    </row>
    <row r="2440" spans="1:23" x14ac:dyDescent="0.3">
      <c r="A2440">
        <v>2980243</v>
      </c>
      <c r="B2440">
        <v>49.71</v>
      </c>
      <c r="C2440" t="s">
        <v>5426</v>
      </c>
      <c r="D2440" t="s">
        <v>970</v>
      </c>
      <c r="E2440" t="s">
        <v>23</v>
      </c>
      <c r="F2440" t="s">
        <v>44</v>
      </c>
      <c r="G2440">
        <v>2019</v>
      </c>
      <c r="H2440" t="s">
        <v>132</v>
      </c>
      <c r="K2440" t="s">
        <v>25</v>
      </c>
      <c r="L2440" t="s">
        <v>26</v>
      </c>
      <c r="M2440" t="b">
        <v>1</v>
      </c>
      <c r="N2440" t="s">
        <v>968</v>
      </c>
      <c r="Q2440" t="b">
        <v>0</v>
      </c>
      <c r="S2440" t="str">
        <f>"9780310354789"</f>
        <v>9780310354789</v>
      </c>
      <c r="T2440" t="str">
        <f>"9780310354796"</f>
        <v>9780310354796</v>
      </c>
      <c r="U2440" t="b">
        <v>0</v>
      </c>
      <c r="W2440" t="b">
        <v>0</v>
      </c>
    </row>
    <row r="2441" spans="1:23" x14ac:dyDescent="0.3">
      <c r="A2441">
        <v>2980242</v>
      </c>
      <c r="B2441">
        <v>14.18</v>
      </c>
      <c r="C2441" t="s">
        <v>5427</v>
      </c>
      <c r="D2441" t="s">
        <v>2754</v>
      </c>
      <c r="E2441" t="s">
        <v>23</v>
      </c>
      <c r="F2441" t="s">
        <v>44</v>
      </c>
      <c r="G2441">
        <v>2018</v>
      </c>
      <c r="H2441" t="s">
        <v>772</v>
      </c>
      <c r="K2441" t="s">
        <v>25</v>
      </c>
      <c r="L2441" t="s">
        <v>30</v>
      </c>
      <c r="M2441" t="b">
        <v>1</v>
      </c>
      <c r="N2441" t="s">
        <v>742</v>
      </c>
      <c r="Q2441" t="b">
        <v>1</v>
      </c>
      <c r="T2441" t="str">
        <f>"9780310352655"</f>
        <v>9780310352655</v>
      </c>
      <c r="U2441" t="b">
        <v>0</v>
      </c>
      <c r="W2441" t="b">
        <v>0</v>
      </c>
    </row>
    <row r="2442" spans="1:23" x14ac:dyDescent="0.3">
      <c r="A2442">
        <v>2980241</v>
      </c>
      <c r="B2442">
        <v>55.17</v>
      </c>
      <c r="C2442" t="s">
        <v>5428</v>
      </c>
      <c r="E2442" t="s">
        <v>23</v>
      </c>
      <c r="F2442" t="s">
        <v>44</v>
      </c>
      <c r="G2442">
        <v>2009</v>
      </c>
      <c r="H2442" t="s">
        <v>132</v>
      </c>
      <c r="K2442" t="s">
        <v>25</v>
      </c>
      <c r="L2442" t="s">
        <v>30</v>
      </c>
      <c r="M2442" t="b">
        <v>1</v>
      </c>
      <c r="N2442" t="s">
        <v>992</v>
      </c>
      <c r="Q2442" t="b">
        <v>0</v>
      </c>
      <c r="S2442" t="str">
        <f>"9780310607052"</f>
        <v>9780310607052</v>
      </c>
      <c r="T2442" t="str">
        <f>"9780310861492"</f>
        <v>9780310861492</v>
      </c>
      <c r="U2442" t="b">
        <v>0</v>
      </c>
      <c r="W2442" t="b">
        <v>0</v>
      </c>
    </row>
    <row r="2443" spans="1:23" x14ac:dyDescent="0.3">
      <c r="A2443">
        <v>2980240</v>
      </c>
      <c r="B2443">
        <v>93.12</v>
      </c>
      <c r="C2443" t="s">
        <v>5429</v>
      </c>
      <c r="D2443" t="s">
        <v>5430</v>
      </c>
      <c r="E2443" t="s">
        <v>23</v>
      </c>
      <c r="F2443" t="s">
        <v>44</v>
      </c>
      <c r="G2443">
        <v>2019</v>
      </c>
      <c r="H2443" t="s">
        <v>1208</v>
      </c>
      <c r="K2443" t="s">
        <v>25</v>
      </c>
      <c r="L2443" t="s">
        <v>26</v>
      </c>
      <c r="M2443" t="b">
        <v>1</v>
      </c>
      <c r="N2443" t="s">
        <v>5431</v>
      </c>
      <c r="Q2443" t="b">
        <v>0</v>
      </c>
      <c r="S2443" t="str">
        <f>"9780310352099"</f>
        <v>9780310352099</v>
      </c>
      <c r="T2443" t="str">
        <f>"9780310352105"</f>
        <v>9780310352105</v>
      </c>
      <c r="U2443" t="b">
        <v>0</v>
      </c>
      <c r="W2443" t="b">
        <v>0</v>
      </c>
    </row>
    <row r="2444" spans="1:23" x14ac:dyDescent="0.3">
      <c r="A2444">
        <v>2980239</v>
      </c>
      <c r="B2444">
        <v>44.82</v>
      </c>
      <c r="C2444" t="s">
        <v>5432</v>
      </c>
      <c r="D2444" t="s">
        <v>5433</v>
      </c>
      <c r="E2444" t="s">
        <v>23</v>
      </c>
      <c r="F2444" t="s">
        <v>44</v>
      </c>
      <c r="G2444">
        <v>2010</v>
      </c>
      <c r="H2444" t="s">
        <v>58</v>
      </c>
      <c r="K2444" t="s">
        <v>25</v>
      </c>
      <c r="L2444" t="s">
        <v>30</v>
      </c>
      <c r="M2444" t="b">
        <v>1</v>
      </c>
      <c r="N2444" t="s">
        <v>5434</v>
      </c>
      <c r="Q2444" t="b">
        <v>0</v>
      </c>
      <c r="S2444" t="str">
        <f>"9780310289494"</f>
        <v>9780310289494</v>
      </c>
      <c r="T2444" t="str">
        <f>"9780310563341"</f>
        <v>9780310563341</v>
      </c>
      <c r="U2444" t="b">
        <v>0</v>
      </c>
      <c r="W2444" t="b">
        <v>0</v>
      </c>
    </row>
    <row r="2445" spans="1:23" x14ac:dyDescent="0.3">
      <c r="A2445">
        <v>2980238</v>
      </c>
      <c r="B2445">
        <v>68.97</v>
      </c>
      <c r="C2445" t="s">
        <v>5435</v>
      </c>
      <c r="D2445" t="s">
        <v>5436</v>
      </c>
      <c r="E2445" t="s">
        <v>23</v>
      </c>
      <c r="F2445" t="s">
        <v>44</v>
      </c>
      <c r="G2445">
        <v>2020</v>
      </c>
      <c r="H2445" t="s">
        <v>734</v>
      </c>
      <c r="I2445" t="s">
        <v>5437</v>
      </c>
      <c r="J2445" t="s">
        <v>5438</v>
      </c>
      <c r="K2445" t="s">
        <v>25</v>
      </c>
      <c r="L2445" t="s">
        <v>26</v>
      </c>
      <c r="M2445" t="b">
        <v>1</v>
      </c>
      <c r="N2445" t="s">
        <v>910</v>
      </c>
      <c r="O2445" t="str">
        <f>"220.61"</f>
        <v>220.61</v>
      </c>
      <c r="Q2445" t="b">
        <v>0</v>
      </c>
      <c r="S2445" t="str">
        <f>"9780310254188"</f>
        <v>9780310254188</v>
      </c>
      <c r="T2445" t="str">
        <f>"9780310113768"</f>
        <v>9780310113768</v>
      </c>
      <c r="U2445" t="b">
        <v>0</v>
      </c>
      <c r="W2445" t="b">
        <v>0</v>
      </c>
    </row>
    <row r="2446" spans="1:23" x14ac:dyDescent="0.3">
      <c r="A2446">
        <v>2980237</v>
      </c>
      <c r="B2446">
        <v>56.82</v>
      </c>
      <c r="C2446" t="s">
        <v>5439</v>
      </c>
      <c r="D2446" t="s">
        <v>5440</v>
      </c>
      <c r="E2446" t="s">
        <v>23</v>
      </c>
      <c r="F2446" t="s">
        <v>44</v>
      </c>
      <c r="G2446">
        <v>2014</v>
      </c>
      <c r="H2446" t="s">
        <v>56</v>
      </c>
      <c r="K2446" t="s">
        <v>25</v>
      </c>
      <c r="L2446" t="s">
        <v>30</v>
      </c>
      <c r="M2446" t="b">
        <v>1</v>
      </c>
      <c r="N2446" t="s">
        <v>5441</v>
      </c>
      <c r="Q2446" t="b">
        <v>0</v>
      </c>
      <c r="T2446" t="str">
        <f>"9780310344421"</f>
        <v>9780310344421</v>
      </c>
      <c r="U2446" t="b">
        <v>0</v>
      </c>
      <c r="W2446" t="b">
        <v>0</v>
      </c>
    </row>
    <row r="2447" spans="1:23" x14ac:dyDescent="0.3">
      <c r="A2447">
        <v>2980236</v>
      </c>
      <c r="B2447">
        <v>65.52</v>
      </c>
      <c r="C2447" t="s">
        <v>5442</v>
      </c>
      <c r="D2447" t="s">
        <v>5443</v>
      </c>
      <c r="E2447" t="s">
        <v>23</v>
      </c>
      <c r="F2447" t="s">
        <v>44</v>
      </c>
      <c r="G2447">
        <v>2020</v>
      </c>
      <c r="H2447" t="s">
        <v>58</v>
      </c>
      <c r="I2447" t="s">
        <v>2453</v>
      </c>
      <c r="J2447" t="s">
        <v>5444</v>
      </c>
      <c r="K2447" t="s">
        <v>25</v>
      </c>
      <c r="L2447" t="s">
        <v>26</v>
      </c>
      <c r="M2447" t="b">
        <v>1</v>
      </c>
      <c r="N2447" t="s">
        <v>5445</v>
      </c>
      <c r="O2447" t="str">
        <f>"248.8/6"</f>
        <v>248.8/6</v>
      </c>
      <c r="Q2447" t="b">
        <v>0</v>
      </c>
      <c r="S2447" t="str">
        <f>"9780310359272"</f>
        <v>9780310359272</v>
      </c>
      <c r="T2447" t="str">
        <f>"9780310359289"</f>
        <v>9780310359289</v>
      </c>
      <c r="U2447" t="b">
        <v>0</v>
      </c>
      <c r="W2447" t="b">
        <v>0</v>
      </c>
    </row>
    <row r="2448" spans="1:23" x14ac:dyDescent="0.3">
      <c r="A2448">
        <v>2980235</v>
      </c>
      <c r="B2448">
        <v>55.17</v>
      </c>
      <c r="C2448" t="s">
        <v>5446</v>
      </c>
      <c r="D2448" t="s">
        <v>5447</v>
      </c>
      <c r="E2448" t="s">
        <v>23</v>
      </c>
      <c r="F2448" t="s">
        <v>44</v>
      </c>
      <c r="G2448">
        <v>2013</v>
      </c>
      <c r="H2448" t="s">
        <v>99</v>
      </c>
      <c r="K2448" t="s">
        <v>25</v>
      </c>
      <c r="L2448" t="s">
        <v>30</v>
      </c>
      <c r="M2448" t="b">
        <v>1</v>
      </c>
      <c r="N2448" t="s">
        <v>3838</v>
      </c>
      <c r="Q2448" t="b">
        <v>0</v>
      </c>
      <c r="S2448" t="str">
        <f>"9780310320159"</f>
        <v>9780310320159</v>
      </c>
      <c r="T2448" t="str">
        <f>"9780310324362"</f>
        <v>9780310324362</v>
      </c>
      <c r="U2448" t="b">
        <v>0</v>
      </c>
      <c r="W2448" t="b">
        <v>0</v>
      </c>
    </row>
    <row r="2449" spans="1:23" x14ac:dyDescent="0.3">
      <c r="A2449">
        <v>2980234</v>
      </c>
      <c r="B2449">
        <v>28.39</v>
      </c>
      <c r="C2449" t="s">
        <v>5448</v>
      </c>
      <c r="D2449" t="s">
        <v>5449</v>
      </c>
      <c r="E2449" t="s">
        <v>23</v>
      </c>
      <c r="F2449" t="s">
        <v>44</v>
      </c>
      <c r="G2449">
        <v>2011</v>
      </c>
      <c r="H2449" t="s">
        <v>34</v>
      </c>
      <c r="K2449" t="s">
        <v>25</v>
      </c>
      <c r="L2449" t="s">
        <v>30</v>
      </c>
      <c r="M2449" t="b">
        <v>1</v>
      </c>
      <c r="N2449" t="s">
        <v>1615</v>
      </c>
      <c r="P2449" t="s">
        <v>1616</v>
      </c>
      <c r="Q2449" t="b">
        <v>1</v>
      </c>
      <c r="T2449" t="str">
        <f>"9780310864196"</f>
        <v>9780310864196</v>
      </c>
      <c r="U2449" t="b">
        <v>0</v>
      </c>
      <c r="W2449" t="b">
        <v>0</v>
      </c>
    </row>
    <row r="2450" spans="1:23" x14ac:dyDescent="0.3">
      <c r="A2450">
        <v>2980233</v>
      </c>
      <c r="B2450">
        <v>56.82</v>
      </c>
      <c r="C2450" t="s">
        <v>5450</v>
      </c>
      <c r="E2450" t="s">
        <v>23</v>
      </c>
      <c r="F2450" t="s">
        <v>44</v>
      </c>
      <c r="G2450">
        <v>2010</v>
      </c>
      <c r="H2450" t="s">
        <v>24</v>
      </c>
      <c r="K2450" t="s">
        <v>25</v>
      </c>
      <c r="L2450" t="s">
        <v>30</v>
      </c>
      <c r="M2450" t="b">
        <v>1</v>
      </c>
      <c r="N2450" t="s">
        <v>4376</v>
      </c>
      <c r="Q2450" t="b">
        <v>0</v>
      </c>
      <c r="T2450" t="str">
        <f>"9780310872160"</f>
        <v>9780310872160</v>
      </c>
      <c r="U2450" t="b">
        <v>0</v>
      </c>
      <c r="W2450" t="b">
        <v>0</v>
      </c>
    </row>
    <row r="2451" spans="1:23" x14ac:dyDescent="0.3">
      <c r="A2451">
        <v>2980232</v>
      </c>
      <c r="B2451">
        <v>56.82</v>
      </c>
      <c r="C2451" t="s">
        <v>5451</v>
      </c>
      <c r="E2451" t="s">
        <v>23</v>
      </c>
      <c r="F2451" t="s">
        <v>44</v>
      </c>
      <c r="G2451">
        <v>2009</v>
      </c>
      <c r="H2451" t="s">
        <v>728</v>
      </c>
      <c r="K2451" t="s">
        <v>25</v>
      </c>
      <c r="L2451" t="s">
        <v>30</v>
      </c>
      <c r="M2451" t="b">
        <v>1</v>
      </c>
      <c r="N2451" t="s">
        <v>3066</v>
      </c>
      <c r="P2451" t="s">
        <v>4067</v>
      </c>
      <c r="Q2451" t="b">
        <v>1</v>
      </c>
      <c r="T2451" t="str">
        <f>"9780310832904"</f>
        <v>9780310832904</v>
      </c>
      <c r="U2451" t="b">
        <v>0</v>
      </c>
      <c r="W2451" t="b">
        <v>0</v>
      </c>
    </row>
    <row r="2452" spans="1:23" x14ac:dyDescent="0.3">
      <c r="A2452">
        <v>2980230</v>
      </c>
      <c r="B2452">
        <v>34.47</v>
      </c>
      <c r="C2452" t="s">
        <v>5452</v>
      </c>
      <c r="E2452" t="s">
        <v>23</v>
      </c>
      <c r="F2452" t="s">
        <v>44</v>
      </c>
      <c r="G2452">
        <v>2014</v>
      </c>
      <c r="H2452" t="s">
        <v>59</v>
      </c>
      <c r="K2452" t="s">
        <v>25</v>
      </c>
      <c r="L2452" t="s">
        <v>30</v>
      </c>
      <c r="M2452" t="b">
        <v>1</v>
      </c>
      <c r="N2452" t="s">
        <v>44</v>
      </c>
      <c r="P2452" t="s">
        <v>2761</v>
      </c>
      <c r="Q2452" t="b">
        <v>0</v>
      </c>
      <c r="S2452" t="str">
        <f>"9780310338673"</f>
        <v>9780310338673</v>
      </c>
      <c r="T2452" t="str">
        <f>"9780310338796"</f>
        <v>9780310338796</v>
      </c>
      <c r="U2452" t="b">
        <v>0</v>
      </c>
      <c r="W2452" t="b">
        <v>0</v>
      </c>
    </row>
    <row r="2453" spans="1:23" x14ac:dyDescent="0.3">
      <c r="A2453">
        <v>2980229</v>
      </c>
      <c r="B2453">
        <v>42.61</v>
      </c>
      <c r="C2453" t="s">
        <v>5453</v>
      </c>
      <c r="D2453" t="s">
        <v>5454</v>
      </c>
      <c r="E2453" t="s">
        <v>23</v>
      </c>
      <c r="F2453" t="s">
        <v>44</v>
      </c>
      <c r="G2453">
        <v>2011</v>
      </c>
      <c r="H2453" t="s">
        <v>912</v>
      </c>
      <c r="K2453" t="s">
        <v>25</v>
      </c>
      <c r="L2453" t="s">
        <v>30</v>
      </c>
      <c r="M2453" t="b">
        <v>1</v>
      </c>
      <c r="N2453" t="s">
        <v>5455</v>
      </c>
      <c r="Q2453" t="b">
        <v>0</v>
      </c>
      <c r="T2453" t="str">
        <f>"9780310412533"</f>
        <v>9780310412533</v>
      </c>
      <c r="U2453" t="b">
        <v>0</v>
      </c>
      <c r="W2453" t="b">
        <v>0</v>
      </c>
    </row>
    <row r="2454" spans="1:23" x14ac:dyDescent="0.3">
      <c r="A2454">
        <v>2980227</v>
      </c>
      <c r="B2454">
        <v>55.17</v>
      </c>
      <c r="C2454" t="s">
        <v>5456</v>
      </c>
      <c r="E2454" t="s">
        <v>23</v>
      </c>
      <c r="F2454" t="s">
        <v>44</v>
      </c>
      <c r="G2454">
        <v>2011</v>
      </c>
      <c r="H2454" t="s">
        <v>66</v>
      </c>
      <c r="K2454" t="s">
        <v>25</v>
      </c>
      <c r="L2454" t="s">
        <v>30</v>
      </c>
      <c r="M2454" t="b">
        <v>1</v>
      </c>
      <c r="N2454" t="s">
        <v>2865</v>
      </c>
      <c r="P2454" t="s">
        <v>4182</v>
      </c>
      <c r="Q2454" t="b">
        <v>1</v>
      </c>
      <c r="S2454" t="str">
        <f>"9780310330141"</f>
        <v>9780310330141</v>
      </c>
      <c r="T2454" t="str">
        <f>"9780310410430"</f>
        <v>9780310410430</v>
      </c>
      <c r="U2454" t="b">
        <v>0</v>
      </c>
      <c r="W2454" t="b">
        <v>0</v>
      </c>
    </row>
    <row r="2455" spans="1:23" x14ac:dyDescent="0.3">
      <c r="A2455">
        <v>2980226</v>
      </c>
      <c r="B2455">
        <v>42.61</v>
      </c>
      <c r="C2455" t="s">
        <v>5457</v>
      </c>
      <c r="D2455" t="s">
        <v>5458</v>
      </c>
      <c r="E2455" t="s">
        <v>23</v>
      </c>
      <c r="F2455" t="s">
        <v>44</v>
      </c>
      <c r="G2455">
        <v>2014</v>
      </c>
      <c r="H2455" t="s">
        <v>5369</v>
      </c>
      <c r="K2455" t="s">
        <v>25</v>
      </c>
      <c r="L2455" t="s">
        <v>30</v>
      </c>
      <c r="M2455" t="b">
        <v>1</v>
      </c>
      <c r="N2455" t="s">
        <v>5459</v>
      </c>
      <c r="Q2455" t="b">
        <v>0</v>
      </c>
      <c r="T2455" t="str">
        <f>"9780310336952"</f>
        <v>9780310336952</v>
      </c>
      <c r="U2455" t="b">
        <v>0</v>
      </c>
      <c r="W2455" t="b">
        <v>0</v>
      </c>
    </row>
    <row r="2456" spans="1:23" x14ac:dyDescent="0.3">
      <c r="A2456">
        <v>2980225</v>
      </c>
      <c r="B2456">
        <v>51.72</v>
      </c>
      <c r="C2456" t="s">
        <v>5460</v>
      </c>
      <c r="E2456" t="s">
        <v>23</v>
      </c>
      <c r="F2456" t="s">
        <v>44</v>
      </c>
      <c r="G2456">
        <v>2009</v>
      </c>
      <c r="H2456" t="s">
        <v>67</v>
      </c>
      <c r="K2456" t="s">
        <v>25</v>
      </c>
      <c r="L2456" t="s">
        <v>30</v>
      </c>
      <c r="M2456" t="b">
        <v>1</v>
      </c>
      <c r="N2456" t="s">
        <v>3353</v>
      </c>
      <c r="P2456" t="s">
        <v>3354</v>
      </c>
      <c r="Q2456" t="b">
        <v>1</v>
      </c>
      <c r="S2456" t="str">
        <f>"9780310278733"</f>
        <v>9780310278733</v>
      </c>
      <c r="T2456" t="str">
        <f>"9780310561019"</f>
        <v>9780310561019</v>
      </c>
      <c r="U2456" t="b">
        <v>0</v>
      </c>
      <c r="W2456" t="b">
        <v>0</v>
      </c>
    </row>
    <row r="2457" spans="1:23" x14ac:dyDescent="0.3">
      <c r="A2457">
        <v>2980224</v>
      </c>
      <c r="B2457">
        <v>63.93</v>
      </c>
      <c r="C2457" t="s">
        <v>5461</v>
      </c>
      <c r="D2457" t="s">
        <v>5462</v>
      </c>
      <c r="E2457" t="s">
        <v>23</v>
      </c>
      <c r="F2457" t="s">
        <v>44</v>
      </c>
      <c r="G2457">
        <v>2013</v>
      </c>
      <c r="H2457" t="s">
        <v>58</v>
      </c>
      <c r="K2457" t="s">
        <v>25</v>
      </c>
      <c r="L2457" t="s">
        <v>30</v>
      </c>
      <c r="M2457" t="b">
        <v>1</v>
      </c>
      <c r="N2457" t="s">
        <v>5463</v>
      </c>
      <c r="Q2457" t="b">
        <v>0</v>
      </c>
      <c r="T2457" t="str">
        <f>"9780310336761"</f>
        <v>9780310336761</v>
      </c>
      <c r="U2457" t="b">
        <v>0</v>
      </c>
      <c r="W2457" t="b">
        <v>0</v>
      </c>
    </row>
    <row r="2458" spans="1:23" x14ac:dyDescent="0.3">
      <c r="A2458">
        <v>2980223</v>
      </c>
      <c r="B2458">
        <v>55.17</v>
      </c>
      <c r="C2458" t="s">
        <v>5464</v>
      </c>
      <c r="D2458" t="s">
        <v>5465</v>
      </c>
      <c r="E2458" t="s">
        <v>23</v>
      </c>
      <c r="F2458" t="s">
        <v>44</v>
      </c>
      <c r="G2458">
        <v>2010</v>
      </c>
      <c r="H2458" t="s">
        <v>1211</v>
      </c>
      <c r="K2458" t="s">
        <v>25</v>
      </c>
      <c r="L2458" t="s">
        <v>30</v>
      </c>
      <c r="M2458" t="b">
        <v>1</v>
      </c>
      <c r="N2458" t="s">
        <v>31</v>
      </c>
      <c r="Q2458" t="b">
        <v>1</v>
      </c>
      <c r="S2458" t="str">
        <f>"9780310342540"</f>
        <v>9780310342540</v>
      </c>
      <c r="T2458" t="str">
        <f>"9780310412090"</f>
        <v>9780310412090</v>
      </c>
      <c r="U2458" t="b">
        <v>0</v>
      </c>
      <c r="W2458" t="b">
        <v>0</v>
      </c>
    </row>
    <row r="2459" spans="1:23" x14ac:dyDescent="0.3">
      <c r="A2459">
        <v>2980222</v>
      </c>
      <c r="B2459">
        <v>44.82</v>
      </c>
      <c r="C2459" t="s">
        <v>5466</v>
      </c>
      <c r="E2459" t="s">
        <v>23</v>
      </c>
      <c r="F2459" t="s">
        <v>44</v>
      </c>
      <c r="G2459">
        <v>2009</v>
      </c>
      <c r="H2459" t="s">
        <v>728</v>
      </c>
      <c r="K2459" t="s">
        <v>25</v>
      </c>
      <c r="L2459" t="s">
        <v>30</v>
      </c>
      <c r="M2459" t="b">
        <v>1</v>
      </c>
      <c r="N2459" t="s">
        <v>3066</v>
      </c>
      <c r="P2459" t="s">
        <v>3412</v>
      </c>
      <c r="Q2459" t="b">
        <v>1</v>
      </c>
      <c r="S2459" t="str">
        <f>"9780310670117"</f>
        <v>9780310670117</v>
      </c>
      <c r="T2459" t="str">
        <f>"9780310833680"</f>
        <v>9780310833680</v>
      </c>
      <c r="U2459" t="b">
        <v>0</v>
      </c>
      <c r="W2459" t="b">
        <v>0</v>
      </c>
    </row>
    <row r="2460" spans="1:23" x14ac:dyDescent="0.3">
      <c r="A2460">
        <v>2980221</v>
      </c>
      <c r="B2460">
        <v>89.67</v>
      </c>
      <c r="C2460" t="s">
        <v>5467</v>
      </c>
      <c r="D2460" t="s">
        <v>5468</v>
      </c>
      <c r="E2460" t="s">
        <v>23</v>
      </c>
      <c r="F2460" t="s">
        <v>44</v>
      </c>
      <c r="G2460">
        <v>2021</v>
      </c>
      <c r="H2460" t="s">
        <v>5469</v>
      </c>
      <c r="I2460" t="s">
        <v>5470</v>
      </c>
      <c r="J2460" t="s">
        <v>5471</v>
      </c>
      <c r="K2460" t="s">
        <v>25</v>
      </c>
      <c r="L2460" t="s">
        <v>26</v>
      </c>
      <c r="M2460" t="b">
        <v>1</v>
      </c>
      <c r="N2460" t="s">
        <v>5472</v>
      </c>
      <c r="O2460" t="str">
        <f>"158.1/6"</f>
        <v>158.1/6</v>
      </c>
      <c r="Q2460" t="b">
        <v>0</v>
      </c>
      <c r="S2460" t="str">
        <f>"9780310359340"</f>
        <v>9780310359340</v>
      </c>
      <c r="T2460" t="str">
        <f>"9780310359357"</f>
        <v>9780310359357</v>
      </c>
      <c r="U2460" t="b">
        <v>0</v>
      </c>
      <c r="W2460" t="b">
        <v>0</v>
      </c>
    </row>
    <row r="2461" spans="1:23" x14ac:dyDescent="0.3">
      <c r="A2461">
        <v>2980220</v>
      </c>
      <c r="B2461">
        <v>34.47</v>
      </c>
      <c r="C2461" t="s">
        <v>5473</v>
      </c>
      <c r="D2461" t="s">
        <v>5474</v>
      </c>
      <c r="E2461" t="s">
        <v>23</v>
      </c>
      <c r="F2461" t="s">
        <v>44</v>
      </c>
      <c r="G2461">
        <v>2009</v>
      </c>
      <c r="H2461" t="s">
        <v>69</v>
      </c>
      <c r="K2461" t="s">
        <v>25</v>
      </c>
      <c r="L2461" t="s">
        <v>30</v>
      </c>
      <c r="M2461" t="b">
        <v>1</v>
      </c>
      <c r="N2461" t="s">
        <v>44</v>
      </c>
      <c r="Q2461" t="b">
        <v>0</v>
      </c>
      <c r="S2461" t="str">
        <f>"9780310211488"</f>
        <v>9780310211488</v>
      </c>
      <c r="T2461" t="str">
        <f>"9780310858805"</f>
        <v>9780310858805</v>
      </c>
      <c r="U2461" t="b">
        <v>0</v>
      </c>
      <c r="W2461" t="b">
        <v>0</v>
      </c>
    </row>
    <row r="2462" spans="1:23" x14ac:dyDescent="0.3">
      <c r="A2462">
        <v>2980219</v>
      </c>
      <c r="B2462">
        <v>166.98</v>
      </c>
      <c r="C2462" t="s">
        <v>5475</v>
      </c>
      <c r="E2462" t="s">
        <v>23</v>
      </c>
      <c r="F2462" t="s">
        <v>44</v>
      </c>
      <c r="G2462">
        <v>2014</v>
      </c>
      <c r="H2462" t="s">
        <v>66</v>
      </c>
      <c r="K2462" t="s">
        <v>25</v>
      </c>
      <c r="L2462" t="s">
        <v>30</v>
      </c>
      <c r="M2462" t="b">
        <v>1</v>
      </c>
      <c r="N2462" t="s">
        <v>77</v>
      </c>
      <c r="P2462" t="s">
        <v>3886</v>
      </c>
      <c r="Q2462" t="b">
        <v>1</v>
      </c>
      <c r="T2462" t="str">
        <f>"9780310342915"</f>
        <v>9780310342915</v>
      </c>
      <c r="U2462" t="b">
        <v>0</v>
      </c>
      <c r="W2462" t="b">
        <v>0</v>
      </c>
    </row>
    <row r="2463" spans="1:23" x14ac:dyDescent="0.3">
      <c r="A2463">
        <v>2980218</v>
      </c>
      <c r="B2463">
        <v>86.22</v>
      </c>
      <c r="C2463" t="s">
        <v>5476</v>
      </c>
      <c r="D2463" t="s">
        <v>5477</v>
      </c>
      <c r="E2463" t="s">
        <v>23</v>
      </c>
      <c r="F2463" t="s">
        <v>44</v>
      </c>
      <c r="G2463">
        <v>2020</v>
      </c>
      <c r="H2463" t="s">
        <v>2378</v>
      </c>
      <c r="K2463" t="s">
        <v>25</v>
      </c>
      <c r="L2463" t="s">
        <v>26</v>
      </c>
      <c r="M2463" t="b">
        <v>1</v>
      </c>
      <c r="N2463" t="s">
        <v>5478</v>
      </c>
      <c r="Q2463" t="b">
        <v>0</v>
      </c>
      <c r="S2463" t="str">
        <f>"9780310357971"</f>
        <v>9780310357971</v>
      </c>
      <c r="T2463" t="str">
        <f>"9780310357988"</f>
        <v>9780310357988</v>
      </c>
      <c r="U2463" t="b">
        <v>0</v>
      </c>
      <c r="W2463" t="b">
        <v>0</v>
      </c>
    </row>
    <row r="2464" spans="1:23" x14ac:dyDescent="0.3">
      <c r="A2464">
        <v>2980217</v>
      </c>
      <c r="B2464">
        <v>65.52</v>
      </c>
      <c r="C2464" t="s">
        <v>5479</v>
      </c>
      <c r="E2464" t="s">
        <v>23</v>
      </c>
      <c r="F2464" t="s">
        <v>44</v>
      </c>
      <c r="G2464">
        <v>2020</v>
      </c>
      <c r="H2464" t="s">
        <v>99</v>
      </c>
      <c r="K2464" t="s">
        <v>25</v>
      </c>
      <c r="L2464" t="s">
        <v>26</v>
      </c>
      <c r="M2464" t="b">
        <v>1</v>
      </c>
      <c r="N2464" t="s">
        <v>5480</v>
      </c>
      <c r="Q2464" t="b">
        <v>0</v>
      </c>
      <c r="S2464" t="str">
        <f>"9780310537755"</f>
        <v>9780310537755</v>
      </c>
      <c r="T2464" t="str">
        <f>"9780310537762"</f>
        <v>9780310537762</v>
      </c>
      <c r="U2464" t="b">
        <v>0</v>
      </c>
      <c r="W2464" t="b">
        <v>0</v>
      </c>
    </row>
    <row r="2465" spans="1:23" x14ac:dyDescent="0.3">
      <c r="A2465">
        <v>2980216</v>
      </c>
      <c r="B2465">
        <v>68.97</v>
      </c>
      <c r="C2465" t="s">
        <v>5481</v>
      </c>
      <c r="D2465" t="s">
        <v>5482</v>
      </c>
      <c r="E2465" t="s">
        <v>23</v>
      </c>
      <c r="F2465" t="s">
        <v>44</v>
      </c>
      <c r="G2465">
        <v>2018</v>
      </c>
      <c r="H2465" t="s">
        <v>58</v>
      </c>
      <c r="K2465" t="s">
        <v>25</v>
      </c>
      <c r="L2465" t="s">
        <v>26</v>
      </c>
      <c r="M2465" t="b">
        <v>1</v>
      </c>
      <c r="N2465" t="s">
        <v>5483</v>
      </c>
      <c r="Q2465" t="b">
        <v>0</v>
      </c>
      <c r="S2465" t="str">
        <f>"9780310353409"</f>
        <v>9780310353409</v>
      </c>
      <c r="T2465" t="str">
        <f>"9780310353423"</f>
        <v>9780310353423</v>
      </c>
      <c r="U2465" t="b">
        <v>0</v>
      </c>
      <c r="W2465" t="b">
        <v>0</v>
      </c>
    </row>
    <row r="2466" spans="1:23" x14ac:dyDescent="0.3">
      <c r="A2466">
        <v>2980215</v>
      </c>
      <c r="B2466">
        <v>39.049999999999997</v>
      </c>
      <c r="C2466" t="s">
        <v>5484</v>
      </c>
      <c r="D2466" t="s">
        <v>5485</v>
      </c>
      <c r="E2466" t="s">
        <v>23</v>
      </c>
      <c r="F2466" t="s">
        <v>44</v>
      </c>
      <c r="G2466">
        <v>2009</v>
      </c>
      <c r="H2466" t="s">
        <v>132</v>
      </c>
      <c r="K2466" t="s">
        <v>25</v>
      </c>
      <c r="L2466" t="s">
        <v>26</v>
      </c>
      <c r="M2466" t="b">
        <v>1</v>
      </c>
      <c r="N2466" t="s">
        <v>3133</v>
      </c>
      <c r="Q2466" t="b">
        <v>0</v>
      </c>
      <c r="T2466" t="str">
        <f>"9780310564263"</f>
        <v>9780310564263</v>
      </c>
      <c r="U2466" t="b">
        <v>0</v>
      </c>
      <c r="W2466" t="b">
        <v>0</v>
      </c>
    </row>
    <row r="2467" spans="1:23" x14ac:dyDescent="0.3">
      <c r="A2467">
        <v>2980214</v>
      </c>
      <c r="B2467">
        <v>53.27</v>
      </c>
      <c r="C2467" t="s">
        <v>5486</v>
      </c>
      <c r="D2467" t="s">
        <v>5487</v>
      </c>
      <c r="E2467" t="s">
        <v>23</v>
      </c>
      <c r="F2467" t="s">
        <v>44</v>
      </c>
      <c r="G2467">
        <v>2010</v>
      </c>
      <c r="H2467" t="s">
        <v>132</v>
      </c>
      <c r="K2467" t="s">
        <v>25</v>
      </c>
      <c r="L2467" t="s">
        <v>30</v>
      </c>
      <c r="M2467" t="b">
        <v>1</v>
      </c>
      <c r="N2467" t="s">
        <v>5488</v>
      </c>
      <c r="Q2467" t="b">
        <v>0</v>
      </c>
      <c r="T2467" t="str">
        <f>"9780310871590"</f>
        <v>9780310871590</v>
      </c>
      <c r="U2467" t="b">
        <v>0</v>
      </c>
      <c r="W2467" t="b">
        <v>0</v>
      </c>
    </row>
    <row r="2468" spans="1:23" x14ac:dyDescent="0.3">
      <c r="A2468">
        <v>2980213</v>
      </c>
      <c r="B2468">
        <v>58.62</v>
      </c>
      <c r="C2468" t="s">
        <v>5489</v>
      </c>
      <c r="D2468" t="s">
        <v>5490</v>
      </c>
      <c r="E2468" t="s">
        <v>23</v>
      </c>
      <c r="F2468" t="s">
        <v>44</v>
      </c>
      <c r="G2468">
        <v>2010</v>
      </c>
      <c r="H2468" t="s">
        <v>99</v>
      </c>
      <c r="K2468" t="s">
        <v>25</v>
      </c>
      <c r="L2468" t="s">
        <v>26</v>
      </c>
      <c r="M2468" t="b">
        <v>1</v>
      </c>
      <c r="N2468" t="s">
        <v>2269</v>
      </c>
      <c r="Q2468" t="b">
        <v>0</v>
      </c>
      <c r="S2468" t="str">
        <f>"9780310245667"</f>
        <v>9780310245667</v>
      </c>
      <c r="T2468" t="str">
        <f>"9780310870203"</f>
        <v>9780310870203</v>
      </c>
      <c r="U2468" t="b">
        <v>0</v>
      </c>
      <c r="W2468" t="b">
        <v>0</v>
      </c>
    </row>
    <row r="2469" spans="1:23" x14ac:dyDescent="0.3">
      <c r="A2469">
        <v>2980212</v>
      </c>
      <c r="B2469">
        <v>65.52</v>
      </c>
      <c r="C2469" t="s">
        <v>5491</v>
      </c>
      <c r="D2469" t="s">
        <v>5492</v>
      </c>
      <c r="E2469" t="s">
        <v>23</v>
      </c>
      <c r="F2469" t="s">
        <v>44</v>
      </c>
      <c r="G2469">
        <v>2019</v>
      </c>
      <c r="H2469" t="s">
        <v>89</v>
      </c>
      <c r="K2469" t="s">
        <v>25</v>
      </c>
      <c r="L2469" t="s">
        <v>26</v>
      </c>
      <c r="M2469" t="b">
        <v>1</v>
      </c>
      <c r="N2469" t="s">
        <v>5493</v>
      </c>
      <c r="Q2469" t="b">
        <v>0</v>
      </c>
      <c r="S2469" t="str">
        <f>"9780310352242"</f>
        <v>9780310352242</v>
      </c>
      <c r="T2469" t="str">
        <f>"9780310352259"</f>
        <v>9780310352259</v>
      </c>
      <c r="U2469" t="b">
        <v>0</v>
      </c>
      <c r="W2469" t="b">
        <v>0</v>
      </c>
    </row>
    <row r="2470" spans="1:23" x14ac:dyDescent="0.3">
      <c r="A2470">
        <v>2980211</v>
      </c>
      <c r="B2470">
        <v>58.62</v>
      </c>
      <c r="C2470" t="s">
        <v>5494</v>
      </c>
      <c r="D2470" t="s">
        <v>5495</v>
      </c>
      <c r="E2470" t="s">
        <v>23</v>
      </c>
      <c r="F2470" t="s">
        <v>44</v>
      </c>
      <c r="G2470">
        <v>2016</v>
      </c>
      <c r="H2470" t="s">
        <v>56</v>
      </c>
      <c r="K2470" t="s">
        <v>25</v>
      </c>
      <c r="L2470" t="s">
        <v>26</v>
      </c>
      <c r="M2470" t="b">
        <v>1</v>
      </c>
      <c r="N2470" t="s">
        <v>3775</v>
      </c>
      <c r="Q2470" t="b">
        <v>0</v>
      </c>
      <c r="S2470" t="str">
        <f>"9780310344131"</f>
        <v>9780310344131</v>
      </c>
      <c r="T2470" t="str">
        <f>"9780310344148"</f>
        <v>9780310344148</v>
      </c>
      <c r="U2470" t="b">
        <v>0</v>
      </c>
      <c r="W2470" t="b">
        <v>0</v>
      </c>
    </row>
    <row r="2471" spans="1:23" x14ac:dyDescent="0.3">
      <c r="A2471">
        <v>2980210</v>
      </c>
      <c r="B2471">
        <v>42.61</v>
      </c>
      <c r="C2471" t="s">
        <v>5496</v>
      </c>
      <c r="E2471" t="s">
        <v>23</v>
      </c>
      <c r="F2471" t="s">
        <v>44</v>
      </c>
      <c r="G2471">
        <v>2011</v>
      </c>
      <c r="H2471" t="s">
        <v>1212</v>
      </c>
      <c r="K2471" t="s">
        <v>25</v>
      </c>
      <c r="L2471" t="s">
        <v>30</v>
      </c>
      <c r="M2471" t="b">
        <v>1</v>
      </c>
      <c r="N2471" t="s">
        <v>2959</v>
      </c>
      <c r="Q2471" t="b">
        <v>1</v>
      </c>
      <c r="T2471" t="str">
        <f>"9780310413646"</f>
        <v>9780310413646</v>
      </c>
      <c r="U2471" t="b">
        <v>0</v>
      </c>
      <c r="W2471" t="b">
        <v>0</v>
      </c>
    </row>
    <row r="2472" spans="1:23" x14ac:dyDescent="0.3">
      <c r="A2472">
        <v>2980209</v>
      </c>
      <c r="B2472">
        <v>63.93</v>
      </c>
      <c r="C2472" t="s">
        <v>5497</v>
      </c>
      <c r="D2472" t="s">
        <v>5498</v>
      </c>
      <c r="E2472" t="s">
        <v>23</v>
      </c>
      <c r="F2472" t="s">
        <v>44</v>
      </c>
      <c r="G2472">
        <v>2013</v>
      </c>
      <c r="H2472" t="s">
        <v>1234</v>
      </c>
      <c r="K2472" t="s">
        <v>25</v>
      </c>
      <c r="L2472" t="s">
        <v>30</v>
      </c>
      <c r="M2472" t="b">
        <v>1</v>
      </c>
      <c r="N2472" t="s">
        <v>5499</v>
      </c>
      <c r="Q2472" t="b">
        <v>0</v>
      </c>
      <c r="T2472" t="str">
        <f>"9780310318279"</f>
        <v>9780310318279</v>
      </c>
      <c r="U2472" t="b">
        <v>0</v>
      </c>
      <c r="W2472" t="b">
        <v>0</v>
      </c>
    </row>
    <row r="2473" spans="1:23" x14ac:dyDescent="0.3">
      <c r="A2473">
        <v>2980208</v>
      </c>
      <c r="B2473">
        <v>34.47</v>
      </c>
      <c r="C2473" t="s">
        <v>5500</v>
      </c>
      <c r="D2473" t="s">
        <v>5501</v>
      </c>
      <c r="E2473" t="s">
        <v>23</v>
      </c>
      <c r="F2473" t="s">
        <v>44</v>
      </c>
      <c r="G2473">
        <v>2009</v>
      </c>
      <c r="H2473" t="s">
        <v>1888</v>
      </c>
      <c r="K2473" t="s">
        <v>25</v>
      </c>
      <c r="L2473" t="s">
        <v>30</v>
      </c>
      <c r="M2473" t="b">
        <v>1</v>
      </c>
      <c r="N2473" t="s">
        <v>5502</v>
      </c>
      <c r="Q2473" t="b">
        <v>0</v>
      </c>
      <c r="S2473" t="str">
        <f>"9780310277156"</f>
        <v>9780310277156</v>
      </c>
      <c r="T2473" t="str">
        <f>"9780310864684"</f>
        <v>9780310864684</v>
      </c>
      <c r="U2473" t="b">
        <v>0</v>
      </c>
      <c r="W2473" t="b">
        <v>0</v>
      </c>
    </row>
    <row r="2474" spans="1:23" x14ac:dyDescent="0.3">
      <c r="A2474">
        <v>2980207</v>
      </c>
      <c r="B2474">
        <v>44.82</v>
      </c>
      <c r="C2474" t="s">
        <v>5503</v>
      </c>
      <c r="D2474" t="s">
        <v>5504</v>
      </c>
      <c r="E2474" t="s">
        <v>23</v>
      </c>
      <c r="F2474" t="s">
        <v>44</v>
      </c>
      <c r="G2474">
        <v>2010</v>
      </c>
      <c r="H2474" t="s">
        <v>69</v>
      </c>
      <c r="K2474" t="s">
        <v>25</v>
      </c>
      <c r="L2474" t="s">
        <v>30</v>
      </c>
      <c r="M2474" t="b">
        <v>1</v>
      </c>
      <c r="N2474" t="s">
        <v>2666</v>
      </c>
      <c r="Q2474" t="b">
        <v>0</v>
      </c>
      <c r="S2474" t="str">
        <f>"9780310219262"</f>
        <v>9780310219262</v>
      </c>
      <c r="T2474" t="str">
        <f>"9780310871408"</f>
        <v>9780310871408</v>
      </c>
      <c r="U2474" t="b">
        <v>0</v>
      </c>
      <c r="W2474" t="b">
        <v>0</v>
      </c>
    </row>
    <row r="2475" spans="1:23" x14ac:dyDescent="0.3">
      <c r="A2475">
        <v>2980206</v>
      </c>
      <c r="B2475">
        <v>51.72</v>
      </c>
      <c r="C2475" t="s">
        <v>5505</v>
      </c>
      <c r="E2475" t="s">
        <v>23</v>
      </c>
      <c r="F2475" t="s">
        <v>44</v>
      </c>
      <c r="G2475">
        <v>2013</v>
      </c>
      <c r="H2475" t="s">
        <v>67</v>
      </c>
      <c r="K2475" t="s">
        <v>25</v>
      </c>
      <c r="L2475" t="s">
        <v>30</v>
      </c>
      <c r="M2475" t="b">
        <v>1</v>
      </c>
      <c r="N2475" t="s">
        <v>3353</v>
      </c>
      <c r="P2475" t="s">
        <v>3945</v>
      </c>
      <c r="Q2475" t="b">
        <v>1</v>
      </c>
      <c r="S2475" t="str">
        <f>"9780310324553"</f>
        <v>9780310324553</v>
      </c>
      <c r="T2475" t="str">
        <f>"9780310413271"</f>
        <v>9780310413271</v>
      </c>
      <c r="U2475" t="b">
        <v>0</v>
      </c>
      <c r="W2475" t="b">
        <v>0</v>
      </c>
    </row>
    <row r="2476" spans="1:23" x14ac:dyDescent="0.3">
      <c r="A2476">
        <v>2980205</v>
      </c>
      <c r="B2476">
        <v>35.5</v>
      </c>
      <c r="C2476" t="s">
        <v>5506</v>
      </c>
      <c r="E2476" t="s">
        <v>23</v>
      </c>
      <c r="F2476" t="s">
        <v>44</v>
      </c>
      <c r="G2476">
        <v>2009</v>
      </c>
      <c r="H2476" t="s">
        <v>62</v>
      </c>
      <c r="K2476" t="s">
        <v>25</v>
      </c>
      <c r="L2476" t="s">
        <v>30</v>
      </c>
      <c r="M2476" t="b">
        <v>1</v>
      </c>
      <c r="N2476" t="s">
        <v>5507</v>
      </c>
      <c r="Q2476" t="b">
        <v>0</v>
      </c>
      <c r="T2476" t="str">
        <f>"9780310868293"</f>
        <v>9780310868293</v>
      </c>
      <c r="U2476" t="b">
        <v>0</v>
      </c>
      <c r="W2476" t="b">
        <v>0</v>
      </c>
    </row>
    <row r="2477" spans="1:23" x14ac:dyDescent="0.3">
      <c r="A2477">
        <v>2980204</v>
      </c>
      <c r="B2477">
        <v>51.72</v>
      </c>
      <c r="C2477" t="s">
        <v>5508</v>
      </c>
      <c r="D2477" t="s">
        <v>5509</v>
      </c>
      <c r="E2477" t="s">
        <v>23</v>
      </c>
      <c r="F2477" t="s">
        <v>44</v>
      </c>
      <c r="G2477">
        <v>2009</v>
      </c>
      <c r="H2477" t="s">
        <v>99</v>
      </c>
      <c r="K2477" t="s">
        <v>25</v>
      </c>
      <c r="L2477" t="s">
        <v>30</v>
      </c>
      <c r="M2477" t="b">
        <v>1</v>
      </c>
      <c r="N2477" t="s">
        <v>2666</v>
      </c>
      <c r="Q2477" t="b">
        <v>0</v>
      </c>
      <c r="S2477" t="str">
        <f>"9780310216667"</f>
        <v>9780310216667</v>
      </c>
      <c r="T2477" t="str">
        <f>"9780310859222"</f>
        <v>9780310859222</v>
      </c>
      <c r="U2477" t="b">
        <v>0</v>
      </c>
      <c r="W2477" t="b">
        <v>0</v>
      </c>
    </row>
    <row r="2478" spans="1:23" x14ac:dyDescent="0.3">
      <c r="A2478">
        <v>2980203</v>
      </c>
      <c r="B2478">
        <v>55.17</v>
      </c>
      <c r="C2478" t="s">
        <v>5510</v>
      </c>
      <c r="E2478" t="s">
        <v>23</v>
      </c>
      <c r="F2478" t="s">
        <v>44</v>
      </c>
      <c r="G2478">
        <v>2013</v>
      </c>
      <c r="H2478" t="s">
        <v>66</v>
      </c>
      <c r="K2478" t="s">
        <v>25</v>
      </c>
      <c r="L2478" t="s">
        <v>30</v>
      </c>
      <c r="M2478" t="b">
        <v>1</v>
      </c>
      <c r="N2478" t="s">
        <v>77</v>
      </c>
      <c r="P2478" t="s">
        <v>4360</v>
      </c>
      <c r="Q2478" t="b">
        <v>1</v>
      </c>
      <c r="S2478" t="str">
        <f>"9780310283133"</f>
        <v>9780310283133</v>
      </c>
      <c r="T2478" t="str">
        <f>"9780310289333"</f>
        <v>9780310289333</v>
      </c>
      <c r="U2478" t="b">
        <v>0</v>
      </c>
      <c r="W2478" t="b">
        <v>0</v>
      </c>
    </row>
    <row r="2479" spans="1:23" x14ac:dyDescent="0.3">
      <c r="A2479">
        <v>2980202</v>
      </c>
      <c r="B2479">
        <v>58.62</v>
      </c>
      <c r="C2479" t="s">
        <v>5511</v>
      </c>
      <c r="D2479" t="s">
        <v>5512</v>
      </c>
      <c r="E2479" t="s">
        <v>23</v>
      </c>
      <c r="F2479" t="s">
        <v>44</v>
      </c>
      <c r="G2479">
        <v>2009</v>
      </c>
      <c r="H2479" t="s">
        <v>99</v>
      </c>
      <c r="K2479" t="s">
        <v>25</v>
      </c>
      <c r="L2479" t="s">
        <v>30</v>
      </c>
      <c r="M2479" t="b">
        <v>1</v>
      </c>
      <c r="N2479" t="s">
        <v>2509</v>
      </c>
      <c r="Q2479" t="b">
        <v>0</v>
      </c>
      <c r="S2479" t="str">
        <f>"9780310494911"</f>
        <v>9780310494911</v>
      </c>
      <c r="T2479" t="str">
        <f>"9780310570646"</f>
        <v>9780310570646</v>
      </c>
      <c r="U2479" t="b">
        <v>0</v>
      </c>
      <c r="W2479" t="b">
        <v>0</v>
      </c>
    </row>
    <row r="2480" spans="1:23" x14ac:dyDescent="0.3">
      <c r="A2480">
        <v>2980201</v>
      </c>
      <c r="B2480">
        <v>14.18</v>
      </c>
      <c r="C2480" t="s">
        <v>5513</v>
      </c>
      <c r="E2480" t="s">
        <v>23</v>
      </c>
      <c r="F2480" t="s">
        <v>44</v>
      </c>
      <c r="G2480">
        <v>2014</v>
      </c>
      <c r="H2480" t="s">
        <v>1212</v>
      </c>
      <c r="K2480" t="s">
        <v>25</v>
      </c>
      <c r="L2480" t="s">
        <v>30</v>
      </c>
      <c r="M2480" t="b">
        <v>1</v>
      </c>
      <c r="N2480" t="s">
        <v>5514</v>
      </c>
      <c r="P2480" t="s">
        <v>2785</v>
      </c>
      <c r="Q2480" t="b">
        <v>1</v>
      </c>
      <c r="T2480" t="str">
        <f>"9780310338697"</f>
        <v>9780310338697</v>
      </c>
      <c r="U2480" t="b">
        <v>0</v>
      </c>
      <c r="W2480" t="b">
        <v>0</v>
      </c>
    </row>
    <row r="2481" spans="1:23" x14ac:dyDescent="0.3">
      <c r="A2481">
        <v>2980200</v>
      </c>
      <c r="B2481">
        <v>55.17</v>
      </c>
      <c r="C2481" t="s">
        <v>5515</v>
      </c>
      <c r="D2481" t="s">
        <v>5516</v>
      </c>
      <c r="E2481" t="s">
        <v>23</v>
      </c>
      <c r="F2481" t="s">
        <v>44</v>
      </c>
      <c r="G2481">
        <v>2015</v>
      </c>
      <c r="H2481" t="s">
        <v>119</v>
      </c>
      <c r="K2481" t="s">
        <v>25</v>
      </c>
      <c r="L2481" t="s">
        <v>30</v>
      </c>
      <c r="M2481" t="b">
        <v>1</v>
      </c>
      <c r="N2481" t="s">
        <v>5517</v>
      </c>
      <c r="Q2481" t="b">
        <v>0</v>
      </c>
      <c r="S2481" t="str">
        <f>"9780310340836"</f>
        <v>9780310340836</v>
      </c>
      <c r="T2481" t="str">
        <f>"9780310340867"</f>
        <v>9780310340867</v>
      </c>
      <c r="U2481" t="b">
        <v>0</v>
      </c>
      <c r="W2481" t="b">
        <v>0</v>
      </c>
    </row>
    <row r="2482" spans="1:23" x14ac:dyDescent="0.3">
      <c r="A2482">
        <v>2980199</v>
      </c>
      <c r="B2482">
        <v>48.27</v>
      </c>
      <c r="C2482" t="s">
        <v>5518</v>
      </c>
      <c r="E2482" t="s">
        <v>23</v>
      </c>
      <c r="F2482" t="s">
        <v>44</v>
      </c>
      <c r="G2482">
        <v>2014</v>
      </c>
      <c r="H2482" t="s">
        <v>717</v>
      </c>
      <c r="K2482" t="s">
        <v>25</v>
      </c>
      <c r="L2482" t="s">
        <v>30</v>
      </c>
      <c r="M2482" t="b">
        <v>1</v>
      </c>
      <c r="N2482" t="s">
        <v>4321</v>
      </c>
      <c r="P2482" t="s">
        <v>4322</v>
      </c>
      <c r="Q2482" t="b">
        <v>1</v>
      </c>
      <c r="S2482" t="str">
        <f>"9780310735816"</f>
        <v>9780310735816</v>
      </c>
      <c r="T2482" t="str">
        <f>"9780310735847"</f>
        <v>9780310735847</v>
      </c>
      <c r="U2482" t="b">
        <v>0</v>
      </c>
      <c r="W2482" t="b">
        <v>0</v>
      </c>
    </row>
    <row r="2483" spans="1:23" x14ac:dyDescent="0.3">
      <c r="A2483">
        <v>2980198</v>
      </c>
      <c r="B2483">
        <v>68.97</v>
      </c>
      <c r="C2483" t="s">
        <v>5519</v>
      </c>
      <c r="D2483" t="s">
        <v>5520</v>
      </c>
      <c r="E2483" t="s">
        <v>23</v>
      </c>
      <c r="F2483" t="s">
        <v>44</v>
      </c>
      <c r="G2483">
        <v>2012</v>
      </c>
      <c r="H2483" t="s">
        <v>58</v>
      </c>
      <c r="K2483" t="s">
        <v>25</v>
      </c>
      <c r="L2483" t="s">
        <v>30</v>
      </c>
      <c r="M2483" t="b">
        <v>1</v>
      </c>
      <c r="N2483" t="s">
        <v>5521</v>
      </c>
      <c r="Q2483" t="b">
        <v>0</v>
      </c>
      <c r="S2483" t="str">
        <f>"9780310331766"</f>
        <v>9780310331766</v>
      </c>
      <c r="T2483" t="str">
        <f>"9780310331773"</f>
        <v>9780310331773</v>
      </c>
      <c r="U2483" t="b">
        <v>0</v>
      </c>
      <c r="W2483" t="b">
        <v>0</v>
      </c>
    </row>
    <row r="2484" spans="1:23" x14ac:dyDescent="0.3">
      <c r="A2484">
        <v>2980197</v>
      </c>
      <c r="B2484">
        <v>14.18</v>
      </c>
      <c r="C2484" t="s">
        <v>5522</v>
      </c>
      <c r="D2484" t="s">
        <v>3250</v>
      </c>
      <c r="E2484" t="s">
        <v>23</v>
      </c>
      <c r="F2484" t="s">
        <v>44</v>
      </c>
      <c r="G2484">
        <v>2020</v>
      </c>
      <c r="H2484" t="s">
        <v>772</v>
      </c>
      <c r="K2484" t="s">
        <v>25</v>
      </c>
      <c r="L2484" t="s">
        <v>30</v>
      </c>
      <c r="M2484" t="b">
        <v>1</v>
      </c>
      <c r="N2484" t="s">
        <v>776</v>
      </c>
      <c r="Q2484" t="b">
        <v>1</v>
      </c>
      <c r="T2484" t="str">
        <f>"9780310360339"</f>
        <v>9780310360339</v>
      </c>
      <c r="U2484" t="b">
        <v>0</v>
      </c>
      <c r="W2484" t="b">
        <v>0</v>
      </c>
    </row>
    <row r="2485" spans="1:23" x14ac:dyDescent="0.3">
      <c r="A2485">
        <v>2980196</v>
      </c>
      <c r="B2485">
        <v>44.82</v>
      </c>
      <c r="C2485" t="s">
        <v>5523</v>
      </c>
      <c r="D2485" t="s">
        <v>5524</v>
      </c>
      <c r="E2485" t="s">
        <v>23</v>
      </c>
      <c r="F2485" t="s">
        <v>44</v>
      </c>
      <c r="G2485">
        <v>2010</v>
      </c>
      <c r="H2485" t="s">
        <v>56</v>
      </c>
      <c r="K2485" t="s">
        <v>25</v>
      </c>
      <c r="L2485" t="s">
        <v>30</v>
      </c>
      <c r="M2485" t="b">
        <v>1</v>
      </c>
      <c r="N2485" t="s">
        <v>5525</v>
      </c>
      <c r="Q2485" t="b">
        <v>0</v>
      </c>
      <c r="S2485" t="str">
        <f>"9780310246800"</f>
        <v>9780310246800</v>
      </c>
      <c r="T2485" t="str">
        <f>"9780310872900"</f>
        <v>9780310872900</v>
      </c>
      <c r="U2485" t="b">
        <v>0</v>
      </c>
      <c r="W2485" t="b">
        <v>0</v>
      </c>
    </row>
    <row r="2486" spans="1:23" x14ac:dyDescent="0.3">
      <c r="A2486">
        <v>2980195</v>
      </c>
      <c r="B2486">
        <v>27.57</v>
      </c>
      <c r="C2486" t="s">
        <v>5526</v>
      </c>
      <c r="D2486" t="s">
        <v>5527</v>
      </c>
      <c r="E2486" t="s">
        <v>23</v>
      </c>
      <c r="F2486" t="s">
        <v>44</v>
      </c>
      <c r="G2486">
        <v>2014</v>
      </c>
      <c r="H2486" t="s">
        <v>58</v>
      </c>
      <c r="K2486" t="s">
        <v>25</v>
      </c>
      <c r="L2486" t="s">
        <v>30</v>
      </c>
      <c r="M2486" t="b">
        <v>1</v>
      </c>
      <c r="N2486" t="s">
        <v>5528</v>
      </c>
      <c r="P2486" t="s">
        <v>3507</v>
      </c>
      <c r="Q2486" t="b">
        <v>0</v>
      </c>
      <c r="S2486" t="str">
        <f>"9780310433477"</f>
        <v>9780310433477</v>
      </c>
      <c r="T2486" t="str">
        <f>"9780310433484"</f>
        <v>9780310433484</v>
      </c>
      <c r="U2486" t="b">
        <v>0</v>
      </c>
      <c r="W2486" t="b">
        <v>0</v>
      </c>
    </row>
    <row r="2487" spans="1:23" x14ac:dyDescent="0.3">
      <c r="A2487">
        <v>2980194</v>
      </c>
      <c r="B2487">
        <v>7.07</v>
      </c>
      <c r="C2487" t="s">
        <v>5529</v>
      </c>
      <c r="E2487" t="s">
        <v>23</v>
      </c>
      <c r="F2487" t="s">
        <v>44</v>
      </c>
      <c r="G2487">
        <v>2011</v>
      </c>
      <c r="H2487" t="s">
        <v>58</v>
      </c>
      <c r="K2487" t="s">
        <v>25</v>
      </c>
      <c r="L2487" t="s">
        <v>30</v>
      </c>
      <c r="M2487" t="b">
        <v>1</v>
      </c>
      <c r="N2487" t="s">
        <v>65</v>
      </c>
      <c r="Q2487" t="b">
        <v>0</v>
      </c>
      <c r="T2487" t="str">
        <f>"9780310336389"</f>
        <v>9780310336389</v>
      </c>
      <c r="U2487" t="b">
        <v>0</v>
      </c>
      <c r="W2487" t="b">
        <v>0</v>
      </c>
    </row>
    <row r="2488" spans="1:23" x14ac:dyDescent="0.3">
      <c r="A2488">
        <v>2980193</v>
      </c>
      <c r="B2488">
        <v>21.29</v>
      </c>
      <c r="C2488" t="s">
        <v>5530</v>
      </c>
      <c r="D2488" t="s">
        <v>1405</v>
      </c>
      <c r="E2488" t="s">
        <v>23</v>
      </c>
      <c r="F2488" t="s">
        <v>44</v>
      </c>
      <c r="G2488">
        <v>2012</v>
      </c>
      <c r="H2488" t="s">
        <v>728</v>
      </c>
      <c r="K2488" t="s">
        <v>25</v>
      </c>
      <c r="L2488" t="s">
        <v>30</v>
      </c>
      <c r="M2488" t="b">
        <v>1</v>
      </c>
      <c r="N2488" t="s">
        <v>776</v>
      </c>
      <c r="P2488" t="s">
        <v>3326</v>
      </c>
      <c r="Q2488" t="b">
        <v>1</v>
      </c>
      <c r="T2488" t="str">
        <f>"9780310413073"</f>
        <v>9780310413073</v>
      </c>
      <c r="U2488" t="b">
        <v>0</v>
      </c>
      <c r="W2488" t="b">
        <v>0</v>
      </c>
    </row>
    <row r="2489" spans="1:23" x14ac:dyDescent="0.3">
      <c r="A2489">
        <v>2980191</v>
      </c>
      <c r="B2489">
        <v>46.16</v>
      </c>
      <c r="C2489" t="s">
        <v>5531</v>
      </c>
      <c r="D2489" t="s">
        <v>5532</v>
      </c>
      <c r="E2489" t="s">
        <v>23</v>
      </c>
      <c r="F2489" t="s">
        <v>44</v>
      </c>
      <c r="G2489">
        <v>2017</v>
      </c>
      <c r="H2489" t="s">
        <v>710</v>
      </c>
      <c r="K2489" t="s">
        <v>25</v>
      </c>
      <c r="L2489" t="s">
        <v>26</v>
      </c>
      <c r="M2489" t="b">
        <v>1</v>
      </c>
      <c r="N2489" t="s">
        <v>3705</v>
      </c>
      <c r="Q2489" t="b">
        <v>0</v>
      </c>
      <c r="T2489" t="str">
        <f>"9780310761273"</f>
        <v>9780310761273</v>
      </c>
      <c r="U2489" t="b">
        <v>0</v>
      </c>
      <c r="W2489" t="b">
        <v>0</v>
      </c>
    </row>
    <row r="2490" spans="1:23" x14ac:dyDescent="0.3">
      <c r="A2490">
        <v>2980190</v>
      </c>
      <c r="B2490">
        <v>65.52</v>
      </c>
      <c r="C2490" t="s">
        <v>5533</v>
      </c>
      <c r="D2490" t="s">
        <v>1356</v>
      </c>
      <c r="E2490" t="s">
        <v>23</v>
      </c>
      <c r="F2490" t="s">
        <v>44</v>
      </c>
      <c r="G2490">
        <v>2011</v>
      </c>
      <c r="H2490" t="s">
        <v>780</v>
      </c>
      <c r="I2490" t="s">
        <v>5534</v>
      </c>
      <c r="J2490" t="s">
        <v>5535</v>
      </c>
      <c r="K2490" t="s">
        <v>25</v>
      </c>
      <c r="L2490" t="s">
        <v>26</v>
      </c>
      <c r="M2490" t="b">
        <v>1</v>
      </c>
      <c r="N2490" t="s">
        <v>1849</v>
      </c>
      <c r="O2490" t="str">
        <f>"617.4/8/092;B"</f>
        <v>617.4/8/092;B</v>
      </c>
      <c r="Q2490" t="b">
        <v>0</v>
      </c>
      <c r="S2490" t="str">
        <f>"9780310546511"</f>
        <v>9780310546511</v>
      </c>
      <c r="T2490" t="str">
        <f>"9780310334446"</f>
        <v>9780310334446</v>
      </c>
      <c r="U2490" t="b">
        <v>0</v>
      </c>
      <c r="V2490" t="s">
        <v>5536</v>
      </c>
      <c r="W2490" t="b">
        <v>0</v>
      </c>
    </row>
    <row r="2491" spans="1:23" x14ac:dyDescent="0.3">
      <c r="A2491">
        <v>2980189</v>
      </c>
      <c r="B2491">
        <v>58.62</v>
      </c>
      <c r="C2491" t="s">
        <v>5537</v>
      </c>
      <c r="D2491" t="s">
        <v>897</v>
      </c>
      <c r="E2491" t="s">
        <v>23</v>
      </c>
      <c r="F2491" t="s">
        <v>44</v>
      </c>
      <c r="G2491">
        <v>2019</v>
      </c>
      <c r="H2491" t="s">
        <v>56</v>
      </c>
      <c r="K2491" t="s">
        <v>25</v>
      </c>
      <c r="L2491" t="s">
        <v>26</v>
      </c>
      <c r="M2491" t="b">
        <v>1</v>
      </c>
      <c r="N2491" t="s">
        <v>5538</v>
      </c>
      <c r="Q2491" t="b">
        <v>0</v>
      </c>
      <c r="S2491" t="str">
        <f>"9780310453147"</f>
        <v>9780310453147</v>
      </c>
      <c r="T2491" t="str">
        <f>"9780310453154"</f>
        <v>9780310453154</v>
      </c>
      <c r="U2491" t="b">
        <v>0</v>
      </c>
      <c r="W2491" t="b">
        <v>0</v>
      </c>
    </row>
    <row r="2492" spans="1:23" x14ac:dyDescent="0.3">
      <c r="A2492">
        <v>2980188</v>
      </c>
      <c r="B2492">
        <v>58.62</v>
      </c>
      <c r="C2492" t="s">
        <v>5539</v>
      </c>
      <c r="D2492" t="s">
        <v>5540</v>
      </c>
      <c r="E2492" t="s">
        <v>23</v>
      </c>
      <c r="F2492" t="s">
        <v>44</v>
      </c>
      <c r="G2492">
        <v>2016</v>
      </c>
      <c r="H2492" t="s">
        <v>62</v>
      </c>
      <c r="K2492" t="s">
        <v>25</v>
      </c>
      <c r="L2492" t="s">
        <v>26</v>
      </c>
      <c r="M2492" t="b">
        <v>1</v>
      </c>
      <c r="N2492" t="s">
        <v>5541</v>
      </c>
      <c r="Q2492" t="b">
        <v>0</v>
      </c>
      <c r="S2492" t="str">
        <f>"9780310345947"</f>
        <v>9780310345947</v>
      </c>
      <c r="T2492" t="str">
        <f>"9780310345954"</f>
        <v>9780310345954</v>
      </c>
      <c r="U2492" t="b">
        <v>0</v>
      </c>
      <c r="W2492" t="b">
        <v>0</v>
      </c>
    </row>
    <row r="2493" spans="1:23" x14ac:dyDescent="0.3">
      <c r="A2493">
        <v>2980187</v>
      </c>
      <c r="B2493">
        <v>14.18</v>
      </c>
      <c r="C2493" t="s">
        <v>5542</v>
      </c>
      <c r="D2493" t="s">
        <v>3088</v>
      </c>
      <c r="E2493" t="s">
        <v>23</v>
      </c>
      <c r="F2493" t="s">
        <v>44</v>
      </c>
      <c r="G2493">
        <v>2018</v>
      </c>
      <c r="H2493" t="s">
        <v>728</v>
      </c>
      <c r="K2493" t="s">
        <v>25</v>
      </c>
      <c r="L2493" t="s">
        <v>30</v>
      </c>
      <c r="M2493" t="b">
        <v>1</v>
      </c>
      <c r="N2493" t="s">
        <v>776</v>
      </c>
      <c r="Q2493" t="b">
        <v>1</v>
      </c>
      <c r="T2493" t="str">
        <f>"9780718091170"</f>
        <v>9780718091170</v>
      </c>
      <c r="U2493" t="b">
        <v>0</v>
      </c>
      <c r="W2493" t="b">
        <v>0</v>
      </c>
    </row>
    <row r="2494" spans="1:23" x14ac:dyDescent="0.3">
      <c r="A2494">
        <v>2980186</v>
      </c>
      <c r="B2494">
        <v>89.67</v>
      </c>
      <c r="C2494" t="s">
        <v>5543</v>
      </c>
      <c r="D2494" t="s">
        <v>5544</v>
      </c>
      <c r="E2494" t="s">
        <v>23</v>
      </c>
      <c r="F2494" t="s">
        <v>44</v>
      </c>
      <c r="G2494">
        <v>2020</v>
      </c>
      <c r="H2494" t="s">
        <v>58</v>
      </c>
      <c r="K2494" t="s">
        <v>25</v>
      </c>
      <c r="L2494" t="s">
        <v>26</v>
      </c>
      <c r="M2494" t="b">
        <v>1</v>
      </c>
      <c r="N2494" t="s">
        <v>3794</v>
      </c>
      <c r="Q2494" t="b">
        <v>0</v>
      </c>
      <c r="S2494" t="str">
        <f>"9780310293668"</f>
        <v>9780310293668</v>
      </c>
      <c r="T2494" t="str">
        <f>"9780310413318"</f>
        <v>9780310413318</v>
      </c>
      <c r="U2494" t="b">
        <v>0</v>
      </c>
      <c r="W2494" t="b">
        <v>0</v>
      </c>
    </row>
    <row r="2495" spans="1:23" x14ac:dyDescent="0.3">
      <c r="A2495">
        <v>2980185</v>
      </c>
      <c r="B2495">
        <v>34.47</v>
      </c>
      <c r="C2495" t="s">
        <v>5545</v>
      </c>
      <c r="E2495" t="s">
        <v>23</v>
      </c>
      <c r="F2495" t="s">
        <v>44</v>
      </c>
      <c r="G2495">
        <v>2010</v>
      </c>
      <c r="H2495" t="s">
        <v>132</v>
      </c>
      <c r="K2495" t="s">
        <v>25</v>
      </c>
      <c r="L2495" t="s">
        <v>30</v>
      </c>
      <c r="M2495" t="b">
        <v>1</v>
      </c>
      <c r="N2495" t="s">
        <v>5546</v>
      </c>
      <c r="Q2495" t="b">
        <v>0</v>
      </c>
      <c r="S2495" t="str">
        <f>"9780310241751"</f>
        <v>9780310241751</v>
      </c>
      <c r="T2495" t="str">
        <f>"9780310877653"</f>
        <v>9780310877653</v>
      </c>
      <c r="U2495" t="b">
        <v>0</v>
      </c>
      <c r="W2495" t="b">
        <v>0</v>
      </c>
    </row>
    <row r="2496" spans="1:23" x14ac:dyDescent="0.3">
      <c r="A2496">
        <v>2980184</v>
      </c>
      <c r="B2496">
        <v>56.82</v>
      </c>
      <c r="C2496" t="s">
        <v>5547</v>
      </c>
      <c r="D2496" t="s">
        <v>5548</v>
      </c>
      <c r="E2496" t="s">
        <v>23</v>
      </c>
      <c r="F2496" t="s">
        <v>44</v>
      </c>
      <c r="G2496">
        <v>2017</v>
      </c>
      <c r="H2496" t="s">
        <v>62</v>
      </c>
      <c r="K2496" t="s">
        <v>25</v>
      </c>
      <c r="L2496" t="s">
        <v>26</v>
      </c>
      <c r="M2496" t="b">
        <v>1</v>
      </c>
      <c r="N2496" t="s">
        <v>2309</v>
      </c>
      <c r="Q2496" t="b">
        <v>0</v>
      </c>
      <c r="T2496" t="str">
        <f>"9780310350347"</f>
        <v>9780310350347</v>
      </c>
      <c r="U2496" t="b">
        <v>0</v>
      </c>
      <c r="W2496" t="b">
        <v>0</v>
      </c>
    </row>
    <row r="2497" spans="1:23" x14ac:dyDescent="0.3">
      <c r="A2497">
        <v>2980183</v>
      </c>
      <c r="B2497">
        <v>28.39</v>
      </c>
      <c r="C2497" t="s">
        <v>5549</v>
      </c>
      <c r="E2497" t="s">
        <v>23</v>
      </c>
      <c r="F2497" t="s">
        <v>44</v>
      </c>
      <c r="G2497">
        <v>2011</v>
      </c>
      <c r="H2497" t="s">
        <v>3147</v>
      </c>
      <c r="K2497" t="s">
        <v>25</v>
      </c>
      <c r="L2497" t="s">
        <v>30</v>
      </c>
      <c r="M2497" t="b">
        <v>1</v>
      </c>
      <c r="N2497" t="s">
        <v>3561</v>
      </c>
      <c r="P2497" t="s">
        <v>3562</v>
      </c>
      <c r="Q2497" t="b">
        <v>0</v>
      </c>
      <c r="S2497" t="str">
        <f>"9780310722878"</f>
        <v>9780310722878</v>
      </c>
      <c r="T2497" t="str">
        <f>"9780310421863"</f>
        <v>9780310421863</v>
      </c>
      <c r="U2497" t="b">
        <v>0</v>
      </c>
      <c r="W2497" t="b">
        <v>0</v>
      </c>
    </row>
    <row r="2498" spans="1:23" x14ac:dyDescent="0.3">
      <c r="A2498">
        <v>2980182</v>
      </c>
      <c r="B2498">
        <v>63.93</v>
      </c>
      <c r="C2498" t="s">
        <v>5550</v>
      </c>
      <c r="D2498" t="s">
        <v>5551</v>
      </c>
      <c r="E2498" t="s">
        <v>23</v>
      </c>
      <c r="F2498" t="s">
        <v>44</v>
      </c>
      <c r="G2498">
        <v>2012</v>
      </c>
      <c r="H2498" t="s">
        <v>5552</v>
      </c>
      <c r="K2498" t="s">
        <v>25</v>
      </c>
      <c r="L2498" t="s">
        <v>30</v>
      </c>
      <c r="M2498" t="b">
        <v>1</v>
      </c>
      <c r="N2498" t="s">
        <v>5553</v>
      </c>
      <c r="Q2498" t="b">
        <v>0</v>
      </c>
      <c r="T2498" t="str">
        <f>"9780310335627"</f>
        <v>9780310335627</v>
      </c>
      <c r="U2498" t="b">
        <v>0</v>
      </c>
      <c r="W2498" t="b">
        <v>0</v>
      </c>
    </row>
    <row r="2499" spans="1:23" x14ac:dyDescent="0.3">
      <c r="A2499">
        <v>2980181</v>
      </c>
      <c r="B2499">
        <v>79.319999999999993</v>
      </c>
      <c r="C2499" t="s">
        <v>5554</v>
      </c>
      <c r="E2499" t="s">
        <v>23</v>
      </c>
      <c r="F2499" t="s">
        <v>44</v>
      </c>
      <c r="G2499">
        <v>2010</v>
      </c>
      <c r="H2499" t="s">
        <v>912</v>
      </c>
      <c r="K2499" t="s">
        <v>25</v>
      </c>
      <c r="L2499" t="s">
        <v>30</v>
      </c>
      <c r="M2499" t="b">
        <v>1</v>
      </c>
      <c r="N2499" t="s">
        <v>5555</v>
      </c>
      <c r="Q2499" t="b">
        <v>0</v>
      </c>
      <c r="S2499" t="str">
        <f>"9780310243359"</f>
        <v>9780310243359</v>
      </c>
      <c r="T2499" t="str">
        <f>"9780310877639"</f>
        <v>9780310877639</v>
      </c>
      <c r="U2499" t="b">
        <v>0</v>
      </c>
      <c r="W2499" t="b">
        <v>0</v>
      </c>
    </row>
    <row r="2500" spans="1:23" x14ac:dyDescent="0.3">
      <c r="A2500">
        <v>2980180</v>
      </c>
      <c r="B2500">
        <v>44.82</v>
      </c>
      <c r="C2500" t="s">
        <v>5556</v>
      </c>
      <c r="D2500" t="s">
        <v>1405</v>
      </c>
      <c r="E2500" t="s">
        <v>23</v>
      </c>
      <c r="F2500" t="s">
        <v>44</v>
      </c>
      <c r="G2500">
        <v>2011</v>
      </c>
      <c r="H2500" t="s">
        <v>728</v>
      </c>
      <c r="K2500" t="s">
        <v>25</v>
      </c>
      <c r="L2500" t="s">
        <v>30</v>
      </c>
      <c r="M2500" t="b">
        <v>1</v>
      </c>
      <c r="N2500" t="s">
        <v>5557</v>
      </c>
      <c r="Q2500" t="b">
        <v>1</v>
      </c>
      <c r="S2500" t="str">
        <f>"9780310289869"</f>
        <v>9780310289869</v>
      </c>
      <c r="T2500" t="str">
        <f>"9780310412236"</f>
        <v>9780310412236</v>
      </c>
      <c r="U2500" t="b">
        <v>0</v>
      </c>
      <c r="W2500" t="b">
        <v>0</v>
      </c>
    </row>
    <row r="2501" spans="1:23" x14ac:dyDescent="0.3">
      <c r="A2501">
        <v>2980179</v>
      </c>
      <c r="B2501">
        <v>58.62</v>
      </c>
      <c r="C2501" t="s">
        <v>5558</v>
      </c>
      <c r="E2501" t="s">
        <v>23</v>
      </c>
      <c r="F2501" t="s">
        <v>44</v>
      </c>
      <c r="G2501">
        <v>2017</v>
      </c>
      <c r="H2501" t="s">
        <v>2535</v>
      </c>
      <c r="K2501" t="s">
        <v>25</v>
      </c>
      <c r="L2501" t="s">
        <v>26</v>
      </c>
      <c r="M2501" t="b">
        <v>1</v>
      </c>
      <c r="N2501" t="s">
        <v>4527</v>
      </c>
      <c r="P2501" t="s">
        <v>4528</v>
      </c>
      <c r="Q2501" t="b">
        <v>1</v>
      </c>
      <c r="S2501" t="str">
        <f>"9780310291084"</f>
        <v>9780310291084</v>
      </c>
      <c r="T2501" t="str">
        <f>"9780310413189"</f>
        <v>9780310413189</v>
      </c>
      <c r="U2501" t="b">
        <v>0</v>
      </c>
      <c r="W2501" t="b">
        <v>0</v>
      </c>
    </row>
    <row r="2502" spans="1:23" x14ac:dyDescent="0.3">
      <c r="A2502">
        <v>2980178</v>
      </c>
      <c r="B2502">
        <v>42.61</v>
      </c>
      <c r="C2502" t="s">
        <v>5559</v>
      </c>
      <c r="D2502" t="s">
        <v>5560</v>
      </c>
      <c r="E2502" t="s">
        <v>23</v>
      </c>
      <c r="F2502" t="s">
        <v>44</v>
      </c>
      <c r="G2502">
        <v>2014</v>
      </c>
      <c r="H2502" t="s">
        <v>58</v>
      </c>
      <c r="K2502" t="s">
        <v>25</v>
      </c>
      <c r="L2502" t="s">
        <v>30</v>
      </c>
      <c r="M2502" t="b">
        <v>1</v>
      </c>
      <c r="N2502" t="s">
        <v>3192</v>
      </c>
      <c r="Q2502" t="b">
        <v>0</v>
      </c>
      <c r="T2502" t="str">
        <f>"9780310341048"</f>
        <v>9780310341048</v>
      </c>
      <c r="U2502" t="b">
        <v>0</v>
      </c>
      <c r="W2502" t="b">
        <v>0</v>
      </c>
    </row>
    <row r="2503" spans="1:23" x14ac:dyDescent="0.3">
      <c r="A2503">
        <v>2980177</v>
      </c>
      <c r="B2503">
        <v>89.67</v>
      </c>
      <c r="C2503" t="s">
        <v>5561</v>
      </c>
      <c r="D2503" t="s">
        <v>5562</v>
      </c>
      <c r="E2503" t="s">
        <v>23</v>
      </c>
      <c r="F2503" t="s">
        <v>44</v>
      </c>
      <c r="G2503">
        <v>2020</v>
      </c>
      <c r="H2503" t="s">
        <v>720</v>
      </c>
      <c r="I2503" t="s">
        <v>5563</v>
      </c>
      <c r="J2503" t="s">
        <v>5564</v>
      </c>
      <c r="K2503" t="s">
        <v>25</v>
      </c>
      <c r="L2503" t="s">
        <v>26</v>
      </c>
      <c r="M2503" t="b">
        <v>1</v>
      </c>
      <c r="N2503" t="s">
        <v>5565</v>
      </c>
      <c r="O2503" t="str">
        <f>"650.1"</f>
        <v>650.1</v>
      </c>
      <c r="Q2503" t="b">
        <v>0</v>
      </c>
      <c r="S2503" t="str">
        <f>"9780310358305"</f>
        <v>9780310358305</v>
      </c>
      <c r="T2503" t="str">
        <f>"9780310358312"</f>
        <v>9780310358312</v>
      </c>
      <c r="U2503" t="b">
        <v>0</v>
      </c>
      <c r="W2503" t="b">
        <v>0</v>
      </c>
    </row>
    <row r="2504" spans="1:23" x14ac:dyDescent="0.3">
      <c r="A2504">
        <v>2980176</v>
      </c>
      <c r="B2504">
        <v>14.18</v>
      </c>
      <c r="C2504" t="s">
        <v>5566</v>
      </c>
      <c r="D2504" t="s">
        <v>4948</v>
      </c>
      <c r="E2504" t="s">
        <v>23</v>
      </c>
      <c r="F2504" t="s">
        <v>44</v>
      </c>
      <c r="G2504">
        <v>2019</v>
      </c>
      <c r="H2504" t="s">
        <v>772</v>
      </c>
      <c r="K2504" t="s">
        <v>25</v>
      </c>
      <c r="L2504" t="s">
        <v>30</v>
      </c>
      <c r="M2504" t="b">
        <v>1</v>
      </c>
      <c r="N2504" t="s">
        <v>776</v>
      </c>
      <c r="Q2504" t="b">
        <v>1</v>
      </c>
      <c r="T2504" t="str">
        <f>"9780310352730"</f>
        <v>9780310352730</v>
      </c>
      <c r="U2504" t="b">
        <v>0</v>
      </c>
      <c r="W2504" t="b">
        <v>0</v>
      </c>
    </row>
    <row r="2505" spans="1:23" x14ac:dyDescent="0.3">
      <c r="A2505">
        <v>2980175</v>
      </c>
      <c r="B2505">
        <v>55.17</v>
      </c>
      <c r="C2505" t="s">
        <v>5567</v>
      </c>
      <c r="D2505" t="s">
        <v>5568</v>
      </c>
      <c r="E2505" t="s">
        <v>23</v>
      </c>
      <c r="F2505" t="s">
        <v>44</v>
      </c>
      <c r="G2505">
        <v>2016</v>
      </c>
      <c r="H2505" t="s">
        <v>1234</v>
      </c>
      <c r="K2505" t="s">
        <v>25</v>
      </c>
      <c r="L2505" t="s">
        <v>26</v>
      </c>
      <c r="M2505" t="b">
        <v>1</v>
      </c>
      <c r="N2505" t="s">
        <v>5569</v>
      </c>
      <c r="Q2505" t="b">
        <v>0</v>
      </c>
      <c r="S2505" t="str">
        <f>"9780310343837"</f>
        <v>9780310343837</v>
      </c>
      <c r="T2505" t="str">
        <f>"9780310343844"</f>
        <v>9780310343844</v>
      </c>
      <c r="U2505" t="b">
        <v>0</v>
      </c>
      <c r="W2505" t="b">
        <v>0</v>
      </c>
    </row>
    <row r="2506" spans="1:23" x14ac:dyDescent="0.3">
      <c r="A2506">
        <v>2980174</v>
      </c>
      <c r="B2506">
        <v>44.82</v>
      </c>
      <c r="C2506" t="s">
        <v>5570</v>
      </c>
      <c r="D2506" t="s">
        <v>5571</v>
      </c>
      <c r="E2506" t="s">
        <v>23</v>
      </c>
      <c r="F2506" t="s">
        <v>44</v>
      </c>
      <c r="G2506">
        <v>2011</v>
      </c>
      <c r="H2506" t="s">
        <v>728</v>
      </c>
      <c r="K2506" t="s">
        <v>25</v>
      </c>
      <c r="L2506" t="s">
        <v>30</v>
      </c>
      <c r="M2506" t="b">
        <v>1</v>
      </c>
      <c r="N2506" t="s">
        <v>3066</v>
      </c>
      <c r="P2506" t="s">
        <v>3412</v>
      </c>
      <c r="Q2506" t="b">
        <v>1</v>
      </c>
      <c r="S2506" t="str">
        <f>"9780310669814"</f>
        <v>9780310669814</v>
      </c>
      <c r="T2506" t="str">
        <f>"9780310865483"</f>
        <v>9780310865483</v>
      </c>
      <c r="U2506" t="b">
        <v>0</v>
      </c>
      <c r="W2506" t="b">
        <v>0</v>
      </c>
    </row>
    <row r="2507" spans="1:23" x14ac:dyDescent="0.3">
      <c r="A2507">
        <v>2980173</v>
      </c>
      <c r="B2507">
        <v>65.52</v>
      </c>
      <c r="C2507" t="s">
        <v>5572</v>
      </c>
      <c r="D2507" t="s">
        <v>5573</v>
      </c>
      <c r="E2507" t="s">
        <v>23</v>
      </c>
      <c r="F2507" t="s">
        <v>44</v>
      </c>
      <c r="G2507">
        <v>2020</v>
      </c>
      <c r="H2507" t="s">
        <v>58</v>
      </c>
      <c r="K2507" t="s">
        <v>25</v>
      </c>
      <c r="L2507" t="s">
        <v>26</v>
      </c>
      <c r="M2507" t="b">
        <v>1</v>
      </c>
      <c r="N2507" t="s">
        <v>3461</v>
      </c>
      <c r="Q2507" t="b">
        <v>0</v>
      </c>
      <c r="S2507" t="str">
        <f>"9780310346074"</f>
        <v>9780310346074</v>
      </c>
      <c r="T2507" t="str">
        <f>"9780310346081"</f>
        <v>9780310346081</v>
      </c>
      <c r="U2507" t="b">
        <v>0</v>
      </c>
      <c r="W2507" t="b">
        <v>0</v>
      </c>
    </row>
    <row r="2508" spans="1:23" x14ac:dyDescent="0.3">
      <c r="A2508">
        <v>2980172</v>
      </c>
      <c r="B2508">
        <v>42.61</v>
      </c>
      <c r="C2508" t="s">
        <v>5574</v>
      </c>
      <c r="E2508" t="s">
        <v>23</v>
      </c>
      <c r="F2508" t="s">
        <v>44</v>
      </c>
      <c r="G2508">
        <v>2009</v>
      </c>
      <c r="H2508" t="s">
        <v>56</v>
      </c>
      <c r="K2508" t="s">
        <v>25</v>
      </c>
      <c r="L2508" t="s">
        <v>30</v>
      </c>
      <c r="M2508" t="b">
        <v>1</v>
      </c>
      <c r="N2508" t="s">
        <v>2531</v>
      </c>
      <c r="Q2508" t="b">
        <v>0</v>
      </c>
      <c r="T2508" t="str">
        <f>"9780310864776"</f>
        <v>9780310864776</v>
      </c>
      <c r="U2508" t="b">
        <v>0</v>
      </c>
      <c r="W2508" t="b">
        <v>0</v>
      </c>
    </row>
    <row r="2509" spans="1:23" x14ac:dyDescent="0.3">
      <c r="A2509">
        <v>2980171</v>
      </c>
      <c r="B2509">
        <v>42.61</v>
      </c>
      <c r="C2509" t="s">
        <v>5575</v>
      </c>
      <c r="E2509" t="s">
        <v>23</v>
      </c>
      <c r="F2509" t="s">
        <v>44</v>
      </c>
      <c r="G2509">
        <v>2014</v>
      </c>
      <c r="H2509" t="s">
        <v>717</v>
      </c>
      <c r="K2509" t="s">
        <v>25</v>
      </c>
      <c r="L2509" t="s">
        <v>30</v>
      </c>
      <c r="M2509" t="b">
        <v>1</v>
      </c>
      <c r="N2509" t="s">
        <v>1496</v>
      </c>
      <c r="P2509" t="s">
        <v>1497</v>
      </c>
      <c r="Q2509" t="b">
        <v>1</v>
      </c>
      <c r="S2509" t="str">
        <f>"9780310724971"</f>
        <v>9780310724971</v>
      </c>
      <c r="T2509" t="str">
        <f>"9780310000204"</f>
        <v>9780310000204</v>
      </c>
      <c r="U2509" t="b">
        <v>0</v>
      </c>
      <c r="W2509" t="b">
        <v>0</v>
      </c>
    </row>
    <row r="2510" spans="1:23" x14ac:dyDescent="0.3">
      <c r="A2510">
        <v>2980170</v>
      </c>
      <c r="B2510">
        <v>65.52</v>
      </c>
      <c r="C2510" t="s">
        <v>5576</v>
      </c>
      <c r="D2510" t="s">
        <v>5577</v>
      </c>
      <c r="E2510" t="s">
        <v>23</v>
      </c>
      <c r="F2510" t="s">
        <v>44</v>
      </c>
      <c r="G2510">
        <v>2011</v>
      </c>
      <c r="H2510" t="s">
        <v>4260</v>
      </c>
      <c r="K2510" t="s">
        <v>25</v>
      </c>
      <c r="L2510" t="s">
        <v>30</v>
      </c>
      <c r="M2510" t="b">
        <v>1</v>
      </c>
      <c r="N2510" t="s">
        <v>5578</v>
      </c>
      <c r="Q2510" t="b">
        <v>0</v>
      </c>
      <c r="S2510" t="str">
        <f>"9780310365341"</f>
        <v>9780310365341</v>
      </c>
      <c r="T2510" t="str">
        <f>"9780310578550"</f>
        <v>9780310578550</v>
      </c>
      <c r="U2510" t="b">
        <v>0</v>
      </c>
      <c r="W2510" t="b">
        <v>0</v>
      </c>
    </row>
    <row r="2511" spans="1:23" x14ac:dyDescent="0.3">
      <c r="A2511">
        <v>2980169</v>
      </c>
      <c r="B2511">
        <v>86.22</v>
      </c>
      <c r="C2511" t="s">
        <v>5579</v>
      </c>
      <c r="D2511" t="s">
        <v>5580</v>
      </c>
      <c r="E2511" t="s">
        <v>23</v>
      </c>
      <c r="F2511" t="s">
        <v>44</v>
      </c>
      <c r="G2511">
        <v>2018</v>
      </c>
      <c r="H2511" t="s">
        <v>1076</v>
      </c>
      <c r="K2511" t="s">
        <v>25</v>
      </c>
      <c r="L2511" t="s">
        <v>26</v>
      </c>
      <c r="M2511" t="b">
        <v>1</v>
      </c>
      <c r="N2511" t="s">
        <v>5581</v>
      </c>
      <c r="Q2511" t="b">
        <v>0</v>
      </c>
      <c r="S2511" t="str">
        <f>"9780310350026"</f>
        <v>9780310350026</v>
      </c>
      <c r="T2511" t="str">
        <f>"9780310350767"</f>
        <v>9780310350767</v>
      </c>
      <c r="U2511" t="b">
        <v>0</v>
      </c>
      <c r="W2511" t="b">
        <v>0</v>
      </c>
    </row>
    <row r="2512" spans="1:23" x14ac:dyDescent="0.3">
      <c r="A2512">
        <v>2980168</v>
      </c>
      <c r="B2512">
        <v>51.72</v>
      </c>
      <c r="C2512" t="s">
        <v>5582</v>
      </c>
      <c r="E2512" t="s">
        <v>23</v>
      </c>
      <c r="F2512" t="s">
        <v>44</v>
      </c>
      <c r="G2512">
        <v>2009</v>
      </c>
      <c r="H2512" t="s">
        <v>66</v>
      </c>
      <c r="K2512" t="s">
        <v>25</v>
      </c>
      <c r="L2512" t="s">
        <v>30</v>
      </c>
      <c r="M2512" t="b">
        <v>1</v>
      </c>
      <c r="N2512" t="s">
        <v>3170</v>
      </c>
      <c r="Q2512" t="b">
        <v>1</v>
      </c>
      <c r="S2512" t="str">
        <f>"9780310272830"</f>
        <v>9780310272830</v>
      </c>
      <c r="T2512" t="str">
        <f>"9780310860990"</f>
        <v>9780310860990</v>
      </c>
      <c r="U2512" t="b">
        <v>0</v>
      </c>
      <c r="W2512" t="b">
        <v>0</v>
      </c>
    </row>
    <row r="2513" spans="1:23" x14ac:dyDescent="0.3">
      <c r="A2513">
        <v>2980167</v>
      </c>
      <c r="B2513">
        <v>42.61</v>
      </c>
      <c r="C2513" t="s">
        <v>5583</v>
      </c>
      <c r="D2513" t="s">
        <v>1405</v>
      </c>
      <c r="E2513" t="s">
        <v>23</v>
      </c>
      <c r="F2513" t="s">
        <v>44</v>
      </c>
      <c r="G2513">
        <v>2011</v>
      </c>
      <c r="H2513" t="s">
        <v>66</v>
      </c>
      <c r="K2513" t="s">
        <v>25</v>
      </c>
      <c r="L2513" t="s">
        <v>30</v>
      </c>
      <c r="M2513" t="b">
        <v>1</v>
      </c>
      <c r="N2513" t="s">
        <v>3139</v>
      </c>
      <c r="Q2513" t="b">
        <v>1</v>
      </c>
      <c r="T2513" t="str">
        <f>"9780310412694"</f>
        <v>9780310412694</v>
      </c>
      <c r="U2513" t="b">
        <v>0</v>
      </c>
      <c r="W2513" t="b">
        <v>0</v>
      </c>
    </row>
    <row r="2514" spans="1:23" x14ac:dyDescent="0.3">
      <c r="A2514">
        <v>2980166</v>
      </c>
      <c r="B2514">
        <v>55.17</v>
      </c>
      <c r="C2514" t="s">
        <v>5584</v>
      </c>
      <c r="D2514" t="s">
        <v>5585</v>
      </c>
      <c r="E2514" t="s">
        <v>23</v>
      </c>
      <c r="F2514" t="s">
        <v>44</v>
      </c>
      <c r="G2514">
        <v>2015</v>
      </c>
      <c r="H2514" t="s">
        <v>58</v>
      </c>
      <c r="K2514" t="s">
        <v>25</v>
      </c>
      <c r="L2514" t="s">
        <v>26</v>
      </c>
      <c r="M2514" t="b">
        <v>1</v>
      </c>
      <c r="N2514" t="s">
        <v>4146</v>
      </c>
      <c r="Q2514" t="b">
        <v>0</v>
      </c>
      <c r="S2514" t="str">
        <f>"9780310339090"</f>
        <v>9780310339090</v>
      </c>
      <c r="T2514" t="str">
        <f>"9780310339106"</f>
        <v>9780310339106</v>
      </c>
      <c r="U2514" t="b">
        <v>0</v>
      </c>
      <c r="W2514" t="b">
        <v>0</v>
      </c>
    </row>
    <row r="2515" spans="1:23" x14ac:dyDescent="0.3">
      <c r="A2515">
        <v>2980165</v>
      </c>
      <c r="B2515">
        <v>51.72</v>
      </c>
      <c r="C2515" t="s">
        <v>5586</v>
      </c>
      <c r="E2515" t="s">
        <v>23</v>
      </c>
      <c r="F2515" t="s">
        <v>44</v>
      </c>
      <c r="G2515">
        <v>2018</v>
      </c>
      <c r="H2515" t="s">
        <v>132</v>
      </c>
      <c r="K2515" t="s">
        <v>25</v>
      </c>
      <c r="L2515" t="s">
        <v>26</v>
      </c>
      <c r="M2515" t="b">
        <v>1</v>
      </c>
      <c r="N2515" t="s">
        <v>44</v>
      </c>
      <c r="P2515" t="s">
        <v>1216</v>
      </c>
      <c r="Q2515" t="b">
        <v>0</v>
      </c>
      <c r="S2515" t="str">
        <f>"9780310085478"</f>
        <v>9780310085478</v>
      </c>
      <c r="T2515" t="str">
        <f>"9780310085485"</f>
        <v>9780310085485</v>
      </c>
      <c r="U2515" t="b">
        <v>0</v>
      </c>
      <c r="W2515" t="b">
        <v>0</v>
      </c>
    </row>
    <row r="2516" spans="1:23" x14ac:dyDescent="0.3">
      <c r="A2516">
        <v>2980164</v>
      </c>
      <c r="B2516">
        <v>35.5</v>
      </c>
      <c r="C2516" t="s">
        <v>5587</v>
      </c>
      <c r="D2516" t="s">
        <v>5588</v>
      </c>
      <c r="E2516" t="s">
        <v>23</v>
      </c>
      <c r="F2516" t="s">
        <v>44</v>
      </c>
      <c r="G2516">
        <v>2013</v>
      </c>
      <c r="H2516" t="s">
        <v>56</v>
      </c>
      <c r="K2516" t="s">
        <v>25</v>
      </c>
      <c r="L2516" t="s">
        <v>30</v>
      </c>
      <c r="M2516" t="b">
        <v>1</v>
      </c>
      <c r="N2516" t="s">
        <v>5589</v>
      </c>
      <c r="Q2516" t="b">
        <v>0</v>
      </c>
      <c r="T2516" t="str">
        <f>"9780310336990"</f>
        <v>9780310336990</v>
      </c>
      <c r="U2516" t="b">
        <v>0</v>
      </c>
      <c r="W2516" t="b">
        <v>0</v>
      </c>
    </row>
    <row r="2517" spans="1:23" x14ac:dyDescent="0.3">
      <c r="A2517">
        <v>2980163</v>
      </c>
      <c r="B2517">
        <v>65.52</v>
      </c>
      <c r="C2517" t="s">
        <v>5590</v>
      </c>
      <c r="D2517" t="s">
        <v>5591</v>
      </c>
      <c r="E2517" t="s">
        <v>23</v>
      </c>
      <c r="F2517" t="s">
        <v>44</v>
      </c>
      <c r="G2517">
        <v>2021</v>
      </c>
      <c r="H2517" t="s">
        <v>58</v>
      </c>
      <c r="K2517" t="s">
        <v>25</v>
      </c>
      <c r="L2517" t="s">
        <v>26</v>
      </c>
      <c r="M2517" t="b">
        <v>1</v>
      </c>
      <c r="N2517" t="s">
        <v>5592</v>
      </c>
      <c r="Q2517" t="b">
        <v>0</v>
      </c>
      <c r="S2517" t="str">
        <f>"9780310360865"</f>
        <v>9780310360865</v>
      </c>
      <c r="T2517" t="str">
        <f>"9780310360872"</f>
        <v>9780310360872</v>
      </c>
      <c r="U2517" t="b">
        <v>0</v>
      </c>
      <c r="W2517" t="b">
        <v>0</v>
      </c>
    </row>
    <row r="2518" spans="1:23" x14ac:dyDescent="0.3">
      <c r="A2518">
        <v>2980162</v>
      </c>
      <c r="B2518">
        <v>35.5</v>
      </c>
      <c r="C2518" t="s">
        <v>5593</v>
      </c>
      <c r="D2518" t="s">
        <v>5594</v>
      </c>
      <c r="E2518" t="s">
        <v>23</v>
      </c>
      <c r="F2518" t="s">
        <v>44</v>
      </c>
      <c r="G2518">
        <v>2010</v>
      </c>
      <c r="H2518" t="s">
        <v>132</v>
      </c>
      <c r="K2518" t="s">
        <v>25</v>
      </c>
      <c r="L2518" t="s">
        <v>26</v>
      </c>
      <c r="M2518" t="b">
        <v>1</v>
      </c>
      <c r="N2518" t="s">
        <v>44</v>
      </c>
      <c r="P2518" t="s">
        <v>5595</v>
      </c>
      <c r="Q2518" t="b">
        <v>0</v>
      </c>
      <c r="T2518" t="str">
        <f>"9780310866923"</f>
        <v>9780310866923</v>
      </c>
      <c r="U2518" t="b">
        <v>0</v>
      </c>
      <c r="W2518" t="b">
        <v>0</v>
      </c>
    </row>
    <row r="2519" spans="1:23" x14ac:dyDescent="0.3">
      <c r="A2519">
        <v>2980161</v>
      </c>
      <c r="B2519">
        <v>28.39</v>
      </c>
      <c r="C2519" t="s">
        <v>5596</v>
      </c>
      <c r="E2519" t="s">
        <v>23</v>
      </c>
      <c r="F2519" t="s">
        <v>44</v>
      </c>
      <c r="G2519">
        <v>2010</v>
      </c>
      <c r="H2519" t="s">
        <v>728</v>
      </c>
      <c r="K2519" t="s">
        <v>25</v>
      </c>
      <c r="L2519" t="s">
        <v>30</v>
      </c>
      <c r="M2519" t="b">
        <v>1</v>
      </c>
      <c r="N2519" t="s">
        <v>3066</v>
      </c>
      <c r="P2519" t="s">
        <v>4067</v>
      </c>
      <c r="Q2519" t="b">
        <v>1</v>
      </c>
      <c r="T2519" t="str">
        <f>"9780310865568"</f>
        <v>9780310865568</v>
      </c>
      <c r="U2519" t="b">
        <v>0</v>
      </c>
      <c r="W2519" t="b">
        <v>0</v>
      </c>
    </row>
    <row r="2520" spans="1:23" x14ac:dyDescent="0.3">
      <c r="A2520">
        <v>2980160</v>
      </c>
      <c r="B2520">
        <v>44.82</v>
      </c>
      <c r="C2520" t="s">
        <v>5597</v>
      </c>
      <c r="D2520" t="s">
        <v>5598</v>
      </c>
      <c r="E2520" t="s">
        <v>23</v>
      </c>
      <c r="F2520" t="s">
        <v>44</v>
      </c>
      <c r="G2520">
        <v>2009</v>
      </c>
      <c r="H2520" t="s">
        <v>728</v>
      </c>
      <c r="K2520" t="s">
        <v>25</v>
      </c>
      <c r="L2520" t="s">
        <v>30</v>
      </c>
      <c r="M2520" t="b">
        <v>1</v>
      </c>
      <c r="N2520" t="s">
        <v>3066</v>
      </c>
      <c r="P2520" t="s">
        <v>3412</v>
      </c>
      <c r="Q2520" t="b">
        <v>1</v>
      </c>
      <c r="S2520" t="str">
        <f>"9780310669517"</f>
        <v>9780310669517</v>
      </c>
      <c r="T2520" t="str">
        <f>"9780310834465"</f>
        <v>9780310834465</v>
      </c>
      <c r="U2520" t="b">
        <v>0</v>
      </c>
      <c r="W2520" t="b">
        <v>0</v>
      </c>
    </row>
    <row r="2521" spans="1:23" x14ac:dyDescent="0.3">
      <c r="A2521">
        <v>2980159</v>
      </c>
      <c r="B2521">
        <v>14.18</v>
      </c>
      <c r="C2521" t="s">
        <v>5599</v>
      </c>
      <c r="D2521" t="s">
        <v>5600</v>
      </c>
      <c r="E2521" t="s">
        <v>23</v>
      </c>
      <c r="F2521" t="s">
        <v>44</v>
      </c>
      <c r="G2521">
        <v>2015</v>
      </c>
      <c r="H2521" t="s">
        <v>1212</v>
      </c>
      <c r="K2521" t="s">
        <v>25</v>
      </c>
      <c r="L2521" t="s">
        <v>30</v>
      </c>
      <c r="M2521" t="b">
        <v>1</v>
      </c>
      <c r="N2521" t="s">
        <v>5601</v>
      </c>
      <c r="P2521" t="s">
        <v>2785</v>
      </c>
      <c r="Q2521" t="b">
        <v>1</v>
      </c>
      <c r="T2521" t="str">
        <f>"9780310396246"</f>
        <v>9780310396246</v>
      </c>
      <c r="U2521" t="b">
        <v>0</v>
      </c>
      <c r="W2521" t="b">
        <v>0</v>
      </c>
    </row>
    <row r="2522" spans="1:23" x14ac:dyDescent="0.3">
      <c r="A2522">
        <v>2980158</v>
      </c>
      <c r="B2522">
        <v>42.61</v>
      </c>
      <c r="C2522" t="s">
        <v>5602</v>
      </c>
      <c r="E2522" t="s">
        <v>23</v>
      </c>
      <c r="F2522" t="s">
        <v>44</v>
      </c>
      <c r="G2522">
        <v>2010</v>
      </c>
      <c r="H2522" t="s">
        <v>58</v>
      </c>
      <c r="K2522" t="s">
        <v>25</v>
      </c>
      <c r="L2522" t="s">
        <v>30</v>
      </c>
      <c r="M2522" t="b">
        <v>1</v>
      </c>
      <c r="N2522" t="s">
        <v>3189</v>
      </c>
      <c r="Q2522" t="b">
        <v>0</v>
      </c>
      <c r="T2522" t="str">
        <f>"9780310562627"</f>
        <v>9780310562627</v>
      </c>
      <c r="U2522" t="b">
        <v>0</v>
      </c>
      <c r="W2522" t="b">
        <v>0</v>
      </c>
    </row>
    <row r="2523" spans="1:23" x14ac:dyDescent="0.3">
      <c r="A2523">
        <v>2980157</v>
      </c>
      <c r="B2523">
        <v>10.32</v>
      </c>
      <c r="C2523" t="s">
        <v>5603</v>
      </c>
      <c r="D2523" t="s">
        <v>5604</v>
      </c>
      <c r="E2523" t="s">
        <v>23</v>
      </c>
      <c r="F2523" t="s">
        <v>44</v>
      </c>
      <c r="G2523">
        <v>2011</v>
      </c>
      <c r="H2523" t="s">
        <v>58</v>
      </c>
      <c r="K2523" t="s">
        <v>25</v>
      </c>
      <c r="L2523" t="s">
        <v>30</v>
      </c>
      <c r="M2523" t="b">
        <v>1</v>
      </c>
      <c r="N2523" t="s">
        <v>419</v>
      </c>
      <c r="Q2523" t="b">
        <v>0</v>
      </c>
      <c r="S2523" t="str">
        <f>"9780310336358"</f>
        <v>9780310336358</v>
      </c>
      <c r="T2523" t="str">
        <f>"9780310336372"</f>
        <v>9780310336372</v>
      </c>
      <c r="U2523" t="b">
        <v>0</v>
      </c>
      <c r="W2523" t="b">
        <v>0</v>
      </c>
    </row>
    <row r="2524" spans="1:23" x14ac:dyDescent="0.3">
      <c r="A2524">
        <v>2980156</v>
      </c>
      <c r="B2524">
        <v>51.72</v>
      </c>
      <c r="C2524" t="s">
        <v>5605</v>
      </c>
      <c r="E2524" t="s">
        <v>23</v>
      </c>
      <c r="F2524" t="s">
        <v>44</v>
      </c>
      <c r="G2524">
        <v>2014</v>
      </c>
      <c r="H2524" t="s">
        <v>62</v>
      </c>
      <c r="K2524" t="s">
        <v>25</v>
      </c>
      <c r="L2524" t="s">
        <v>30</v>
      </c>
      <c r="M2524" t="b">
        <v>1</v>
      </c>
      <c r="N2524" t="s">
        <v>915</v>
      </c>
      <c r="P2524" t="s">
        <v>5180</v>
      </c>
      <c r="Q2524" t="b">
        <v>0</v>
      </c>
      <c r="S2524" t="str">
        <f>"9780310339557"</f>
        <v>9780310339557</v>
      </c>
      <c r="T2524" t="str">
        <f>"9780310355151"</f>
        <v>9780310355151</v>
      </c>
      <c r="U2524" t="b">
        <v>0</v>
      </c>
      <c r="W2524" t="b">
        <v>0</v>
      </c>
    </row>
    <row r="2525" spans="1:23" x14ac:dyDescent="0.3">
      <c r="A2525">
        <v>2980155</v>
      </c>
      <c r="B2525">
        <v>27.57</v>
      </c>
      <c r="C2525" t="s">
        <v>5606</v>
      </c>
      <c r="E2525" t="s">
        <v>23</v>
      </c>
      <c r="F2525" t="s">
        <v>44</v>
      </c>
      <c r="G2525">
        <v>2016</v>
      </c>
      <c r="H2525" t="s">
        <v>728</v>
      </c>
      <c r="K2525" t="s">
        <v>25</v>
      </c>
      <c r="L2525" t="s">
        <v>26</v>
      </c>
      <c r="M2525" t="b">
        <v>1</v>
      </c>
      <c r="N2525" t="s">
        <v>773</v>
      </c>
      <c r="P2525" t="s">
        <v>3982</v>
      </c>
      <c r="Q2525" t="b">
        <v>1</v>
      </c>
      <c r="S2525" t="str">
        <f>"9780785217114"</f>
        <v>9780785217114</v>
      </c>
      <c r="T2525" t="str">
        <f>"9780310340065"</f>
        <v>9780310340065</v>
      </c>
      <c r="U2525" t="b">
        <v>0</v>
      </c>
      <c r="W2525" t="b">
        <v>0</v>
      </c>
    </row>
    <row r="2526" spans="1:23" x14ac:dyDescent="0.3">
      <c r="A2526">
        <v>2980154</v>
      </c>
      <c r="B2526">
        <v>35.5</v>
      </c>
      <c r="C2526" t="s">
        <v>5607</v>
      </c>
      <c r="D2526" t="s">
        <v>5608</v>
      </c>
      <c r="E2526" t="s">
        <v>23</v>
      </c>
      <c r="F2526" t="s">
        <v>44</v>
      </c>
      <c r="G2526">
        <v>2010</v>
      </c>
      <c r="H2526" t="s">
        <v>56</v>
      </c>
      <c r="K2526" t="s">
        <v>25</v>
      </c>
      <c r="L2526" t="s">
        <v>30</v>
      </c>
      <c r="M2526" t="b">
        <v>1</v>
      </c>
      <c r="N2526" t="s">
        <v>5609</v>
      </c>
      <c r="Q2526" t="b">
        <v>0</v>
      </c>
      <c r="T2526" t="str">
        <f>"9780310412557"</f>
        <v>9780310412557</v>
      </c>
      <c r="U2526" t="b">
        <v>0</v>
      </c>
      <c r="W2526" t="b">
        <v>0</v>
      </c>
    </row>
    <row r="2527" spans="1:23" x14ac:dyDescent="0.3">
      <c r="A2527">
        <v>2980153</v>
      </c>
      <c r="B2527">
        <v>155.22</v>
      </c>
      <c r="C2527" t="s">
        <v>5610</v>
      </c>
      <c r="E2527" t="s">
        <v>23</v>
      </c>
      <c r="F2527" t="s">
        <v>44</v>
      </c>
      <c r="G2527">
        <v>2017</v>
      </c>
      <c r="H2527" t="s">
        <v>5611</v>
      </c>
      <c r="K2527" t="s">
        <v>25</v>
      </c>
      <c r="L2527" t="s">
        <v>26</v>
      </c>
      <c r="M2527" t="b">
        <v>1</v>
      </c>
      <c r="N2527" t="s">
        <v>44</v>
      </c>
      <c r="Q2527" t="b">
        <v>0</v>
      </c>
      <c r="S2527" t="str">
        <f>"9780310440307"</f>
        <v>9780310440307</v>
      </c>
      <c r="T2527" t="str">
        <f>"9780310441038"</f>
        <v>9780310441038</v>
      </c>
      <c r="U2527" t="b">
        <v>0</v>
      </c>
      <c r="W2527" t="b">
        <v>0</v>
      </c>
    </row>
    <row r="2528" spans="1:23" x14ac:dyDescent="0.3">
      <c r="A2528">
        <v>2980152</v>
      </c>
      <c r="B2528">
        <v>24.84</v>
      </c>
      <c r="C2528" t="s">
        <v>5612</v>
      </c>
      <c r="E2528" t="s">
        <v>23</v>
      </c>
      <c r="F2528" t="s">
        <v>44</v>
      </c>
      <c r="G2528">
        <v>2011</v>
      </c>
      <c r="H2528" t="s">
        <v>62</v>
      </c>
      <c r="K2528" t="s">
        <v>25</v>
      </c>
      <c r="L2528" t="s">
        <v>30</v>
      </c>
      <c r="M2528" t="b">
        <v>1</v>
      </c>
      <c r="N2528" t="s">
        <v>44</v>
      </c>
      <c r="Q2528" t="b">
        <v>0</v>
      </c>
      <c r="T2528" t="str">
        <f>"9780310870586"</f>
        <v>9780310870586</v>
      </c>
      <c r="U2528" t="b">
        <v>0</v>
      </c>
      <c r="W2528" t="b">
        <v>0</v>
      </c>
    </row>
    <row r="2529" spans="1:23" x14ac:dyDescent="0.3">
      <c r="A2529">
        <v>2980151</v>
      </c>
      <c r="B2529">
        <v>34.47</v>
      </c>
      <c r="C2529" t="s">
        <v>2284</v>
      </c>
      <c r="D2529" t="s">
        <v>5613</v>
      </c>
      <c r="E2529" t="s">
        <v>23</v>
      </c>
      <c r="F2529" t="s">
        <v>44</v>
      </c>
      <c r="G2529">
        <v>2016</v>
      </c>
      <c r="H2529" t="s">
        <v>24</v>
      </c>
      <c r="K2529" t="s">
        <v>25</v>
      </c>
      <c r="L2529" t="s">
        <v>26</v>
      </c>
      <c r="M2529" t="b">
        <v>1</v>
      </c>
      <c r="N2529" t="s">
        <v>5614</v>
      </c>
      <c r="Q2529" t="b">
        <v>0</v>
      </c>
      <c r="S2529" t="str">
        <f>"9780310344643"</f>
        <v>9780310344643</v>
      </c>
      <c r="T2529" t="str">
        <f>"9780310347576"</f>
        <v>9780310347576</v>
      </c>
      <c r="U2529" t="b">
        <v>0</v>
      </c>
      <c r="W2529" t="b">
        <v>0</v>
      </c>
    </row>
    <row r="2530" spans="1:23" x14ac:dyDescent="0.3">
      <c r="A2530">
        <v>2980150</v>
      </c>
      <c r="B2530">
        <v>14.18</v>
      </c>
      <c r="C2530" t="s">
        <v>5615</v>
      </c>
      <c r="D2530" t="s">
        <v>5616</v>
      </c>
      <c r="E2530" t="s">
        <v>23</v>
      </c>
      <c r="F2530" t="s">
        <v>44</v>
      </c>
      <c r="G2530">
        <v>2015</v>
      </c>
      <c r="H2530" t="s">
        <v>728</v>
      </c>
      <c r="K2530" t="s">
        <v>25</v>
      </c>
      <c r="L2530" t="s">
        <v>30</v>
      </c>
      <c r="M2530" t="b">
        <v>1</v>
      </c>
      <c r="N2530" t="s">
        <v>5617</v>
      </c>
      <c r="P2530" t="s">
        <v>2785</v>
      </c>
      <c r="Q2530" t="b">
        <v>1</v>
      </c>
      <c r="T2530" t="str">
        <f>"9780310396161"</f>
        <v>9780310396161</v>
      </c>
      <c r="U2530" t="b">
        <v>0</v>
      </c>
      <c r="W2530" t="b">
        <v>0</v>
      </c>
    </row>
    <row r="2531" spans="1:23" x14ac:dyDescent="0.3">
      <c r="A2531">
        <v>2980149</v>
      </c>
      <c r="B2531">
        <v>68.97</v>
      </c>
      <c r="C2531" t="s">
        <v>5618</v>
      </c>
      <c r="D2531" t="s">
        <v>5619</v>
      </c>
      <c r="E2531" t="s">
        <v>23</v>
      </c>
      <c r="F2531" t="s">
        <v>44</v>
      </c>
      <c r="G2531">
        <v>2015</v>
      </c>
      <c r="H2531" t="s">
        <v>58</v>
      </c>
      <c r="I2531" t="s">
        <v>5620</v>
      </c>
      <c r="J2531" t="s">
        <v>5621</v>
      </c>
      <c r="K2531" t="s">
        <v>25</v>
      </c>
      <c r="L2531" t="s">
        <v>26</v>
      </c>
      <c r="M2531" t="b">
        <v>1</v>
      </c>
      <c r="N2531" t="s">
        <v>908</v>
      </c>
      <c r="O2531" t="str">
        <f>"248.4"</f>
        <v>248.4</v>
      </c>
      <c r="Q2531" t="b">
        <v>0</v>
      </c>
      <c r="S2531" t="str">
        <f>"9780310337348"</f>
        <v>9780310337348</v>
      </c>
      <c r="T2531" t="str">
        <f>"9780310337324"</f>
        <v>9780310337324</v>
      </c>
      <c r="U2531" t="b">
        <v>0</v>
      </c>
      <c r="V2531" t="s">
        <v>5622</v>
      </c>
      <c r="W2531" t="b">
        <v>0</v>
      </c>
    </row>
    <row r="2532" spans="1:23" x14ac:dyDescent="0.3">
      <c r="A2532">
        <v>2980148</v>
      </c>
      <c r="B2532">
        <v>93.12</v>
      </c>
      <c r="C2532" t="s">
        <v>5623</v>
      </c>
      <c r="D2532" t="s">
        <v>5624</v>
      </c>
      <c r="E2532" t="s">
        <v>23</v>
      </c>
      <c r="F2532" t="s">
        <v>44</v>
      </c>
      <c r="G2532">
        <v>2014</v>
      </c>
      <c r="H2532" t="s">
        <v>69</v>
      </c>
      <c r="K2532" t="s">
        <v>25</v>
      </c>
      <c r="L2532" t="s">
        <v>30</v>
      </c>
      <c r="M2532" t="b">
        <v>1</v>
      </c>
      <c r="N2532" t="s">
        <v>908</v>
      </c>
      <c r="Q2532" t="b">
        <v>0</v>
      </c>
      <c r="S2532" t="str">
        <f>"9780310337263"</f>
        <v>9780310337263</v>
      </c>
      <c r="T2532" t="str">
        <f>"9780310337270"</f>
        <v>9780310337270</v>
      </c>
      <c r="U2532" t="b">
        <v>0</v>
      </c>
      <c r="W2532" t="b">
        <v>0</v>
      </c>
    </row>
    <row r="2533" spans="1:23" x14ac:dyDescent="0.3">
      <c r="A2533">
        <v>2980147</v>
      </c>
      <c r="B2533">
        <v>55.17</v>
      </c>
      <c r="C2533" t="s">
        <v>5625</v>
      </c>
      <c r="D2533" t="s">
        <v>5626</v>
      </c>
      <c r="E2533" t="s">
        <v>23</v>
      </c>
      <c r="F2533" t="s">
        <v>44</v>
      </c>
      <c r="G2533">
        <v>2014</v>
      </c>
      <c r="H2533" t="s">
        <v>56</v>
      </c>
      <c r="K2533" t="s">
        <v>25</v>
      </c>
      <c r="L2533" t="s">
        <v>30</v>
      </c>
      <c r="M2533" t="b">
        <v>1</v>
      </c>
      <c r="N2533" t="s">
        <v>5627</v>
      </c>
      <c r="Q2533" t="b">
        <v>0</v>
      </c>
      <c r="S2533" t="str">
        <f>"9780310340379"</f>
        <v>9780310340379</v>
      </c>
      <c r="T2533" t="str">
        <f>"9780310339939"</f>
        <v>9780310339939</v>
      </c>
      <c r="U2533" t="b">
        <v>0</v>
      </c>
      <c r="W2533" t="b">
        <v>0</v>
      </c>
    </row>
    <row r="2534" spans="1:23" x14ac:dyDescent="0.3">
      <c r="A2534">
        <v>2980146</v>
      </c>
      <c r="B2534">
        <v>14.18</v>
      </c>
      <c r="C2534" t="s">
        <v>5628</v>
      </c>
      <c r="D2534" t="s">
        <v>3398</v>
      </c>
      <c r="E2534" t="s">
        <v>23</v>
      </c>
      <c r="F2534" t="s">
        <v>44</v>
      </c>
      <c r="G2534">
        <v>2018</v>
      </c>
      <c r="H2534" t="s">
        <v>772</v>
      </c>
      <c r="K2534" t="s">
        <v>25</v>
      </c>
      <c r="L2534" t="s">
        <v>30</v>
      </c>
      <c r="M2534" t="b">
        <v>1</v>
      </c>
      <c r="N2534" t="s">
        <v>958</v>
      </c>
      <c r="Q2534" t="b">
        <v>1</v>
      </c>
      <c r="T2534" t="str">
        <f>"9780310352570"</f>
        <v>9780310352570</v>
      </c>
      <c r="U2534" t="b">
        <v>0</v>
      </c>
      <c r="W2534" t="b">
        <v>0</v>
      </c>
    </row>
    <row r="2535" spans="1:23" x14ac:dyDescent="0.3">
      <c r="A2535">
        <v>2980145</v>
      </c>
      <c r="B2535">
        <v>46.16</v>
      </c>
      <c r="C2535" t="s">
        <v>5629</v>
      </c>
      <c r="D2535" t="s">
        <v>5630</v>
      </c>
      <c r="E2535" t="s">
        <v>23</v>
      </c>
      <c r="F2535" t="s">
        <v>44</v>
      </c>
      <c r="G2535">
        <v>2018</v>
      </c>
      <c r="H2535" t="s">
        <v>58</v>
      </c>
      <c r="K2535" t="s">
        <v>25</v>
      </c>
      <c r="L2535" t="s">
        <v>26</v>
      </c>
      <c r="M2535" t="b">
        <v>1</v>
      </c>
      <c r="N2535" t="s">
        <v>1878</v>
      </c>
      <c r="Q2535" t="b">
        <v>0</v>
      </c>
      <c r="S2535" t="str">
        <f>"9780310353348"</f>
        <v>9780310353348</v>
      </c>
      <c r="T2535" t="str">
        <f>"9780310353386"</f>
        <v>9780310353386</v>
      </c>
      <c r="U2535" t="b">
        <v>0</v>
      </c>
      <c r="W2535" t="b">
        <v>0</v>
      </c>
    </row>
    <row r="2536" spans="1:23" x14ac:dyDescent="0.3">
      <c r="A2536">
        <v>2980144</v>
      </c>
      <c r="B2536">
        <v>58.62</v>
      </c>
      <c r="C2536" t="s">
        <v>5631</v>
      </c>
      <c r="D2536" t="s">
        <v>3260</v>
      </c>
      <c r="E2536" t="s">
        <v>23</v>
      </c>
      <c r="F2536" t="s">
        <v>44</v>
      </c>
      <c r="G2536">
        <v>2017</v>
      </c>
      <c r="H2536" t="s">
        <v>341</v>
      </c>
      <c r="K2536" t="s">
        <v>25</v>
      </c>
      <c r="L2536" t="s">
        <v>26</v>
      </c>
      <c r="M2536" t="b">
        <v>1</v>
      </c>
      <c r="N2536" t="s">
        <v>44</v>
      </c>
      <c r="Q2536" t="b">
        <v>0</v>
      </c>
      <c r="S2536" t="str">
        <f>"9780310762799"</f>
        <v>9780310762799</v>
      </c>
      <c r="T2536" t="str">
        <f>"9780310762782"</f>
        <v>9780310762782</v>
      </c>
      <c r="U2536" t="b">
        <v>0</v>
      </c>
      <c r="W2536" t="b">
        <v>0</v>
      </c>
    </row>
    <row r="2537" spans="1:23" x14ac:dyDescent="0.3">
      <c r="A2537">
        <v>2980143</v>
      </c>
      <c r="B2537">
        <v>42.61</v>
      </c>
      <c r="C2537" t="s">
        <v>5632</v>
      </c>
      <c r="E2537" t="s">
        <v>23</v>
      </c>
      <c r="F2537" t="s">
        <v>44</v>
      </c>
      <c r="G2537">
        <v>2010</v>
      </c>
      <c r="H2537" t="s">
        <v>62</v>
      </c>
      <c r="I2537" t="s">
        <v>5633</v>
      </c>
      <c r="J2537" t="s">
        <v>5634</v>
      </c>
      <c r="K2537" t="s">
        <v>25</v>
      </c>
      <c r="L2537" t="s">
        <v>30</v>
      </c>
      <c r="M2537" t="b">
        <v>1</v>
      </c>
      <c r="N2537" t="s">
        <v>2686</v>
      </c>
      <c r="O2537" t="str">
        <f>"782.42/1723"</f>
        <v>782.42/1723</v>
      </c>
      <c r="Q2537" t="b">
        <v>0</v>
      </c>
      <c r="T2537" t="str">
        <f>"9780310597476"</f>
        <v>9780310597476</v>
      </c>
      <c r="U2537" t="b">
        <v>0</v>
      </c>
      <c r="W2537" t="b">
        <v>0</v>
      </c>
    </row>
    <row r="2538" spans="1:23" x14ac:dyDescent="0.3">
      <c r="A2538">
        <v>2980142</v>
      </c>
      <c r="B2538">
        <v>51.72</v>
      </c>
      <c r="C2538" t="s">
        <v>5635</v>
      </c>
      <c r="D2538" t="s">
        <v>1405</v>
      </c>
      <c r="E2538" t="s">
        <v>23</v>
      </c>
      <c r="F2538" t="s">
        <v>44</v>
      </c>
      <c r="G2538">
        <v>2012</v>
      </c>
      <c r="H2538" t="s">
        <v>74</v>
      </c>
      <c r="K2538" t="s">
        <v>25</v>
      </c>
      <c r="L2538" t="s">
        <v>30</v>
      </c>
      <c r="M2538" t="b">
        <v>1</v>
      </c>
      <c r="N2538" t="s">
        <v>5636</v>
      </c>
      <c r="Q2538" t="b">
        <v>1</v>
      </c>
      <c r="S2538" t="str">
        <f>"9780310318729"</f>
        <v>9780310318729</v>
      </c>
      <c r="T2538" t="str">
        <f>"9780310318736"</f>
        <v>9780310318736</v>
      </c>
      <c r="U2538" t="b">
        <v>0</v>
      </c>
      <c r="W2538" t="b">
        <v>0</v>
      </c>
    </row>
    <row r="2539" spans="1:23" x14ac:dyDescent="0.3">
      <c r="A2539">
        <v>2980141</v>
      </c>
      <c r="B2539">
        <v>63.93</v>
      </c>
      <c r="C2539" t="s">
        <v>5637</v>
      </c>
      <c r="D2539" t="s">
        <v>5638</v>
      </c>
      <c r="E2539" t="s">
        <v>23</v>
      </c>
      <c r="F2539" t="s">
        <v>44</v>
      </c>
      <c r="G2539">
        <v>2017</v>
      </c>
      <c r="H2539" t="s">
        <v>1489</v>
      </c>
      <c r="K2539" t="s">
        <v>25</v>
      </c>
      <c r="L2539" t="s">
        <v>26</v>
      </c>
      <c r="M2539" t="b">
        <v>1</v>
      </c>
      <c r="N2539" t="s">
        <v>5639</v>
      </c>
      <c r="Q2539" t="b">
        <v>0</v>
      </c>
      <c r="S2539" t="str">
        <f>"9780310760931"</f>
        <v>9780310760931</v>
      </c>
      <c r="T2539" t="str">
        <f>"9780310760832"</f>
        <v>9780310760832</v>
      </c>
      <c r="U2539" t="b">
        <v>0</v>
      </c>
      <c r="W2539" t="b">
        <v>0</v>
      </c>
    </row>
    <row r="2540" spans="1:23" x14ac:dyDescent="0.3">
      <c r="A2540">
        <v>2980140</v>
      </c>
      <c r="B2540">
        <v>31.02</v>
      </c>
      <c r="C2540" t="s">
        <v>5640</v>
      </c>
      <c r="E2540" t="s">
        <v>23</v>
      </c>
      <c r="F2540" t="s">
        <v>44</v>
      </c>
      <c r="G2540">
        <v>2019</v>
      </c>
      <c r="H2540" t="s">
        <v>772</v>
      </c>
      <c r="K2540" t="s">
        <v>25</v>
      </c>
      <c r="L2540" t="s">
        <v>26</v>
      </c>
      <c r="M2540" t="b">
        <v>1</v>
      </c>
      <c r="N2540" t="s">
        <v>742</v>
      </c>
      <c r="P2540" t="s">
        <v>4281</v>
      </c>
      <c r="Q2540" t="b">
        <v>1</v>
      </c>
      <c r="S2540" t="str">
        <f>"9780310363859"</f>
        <v>9780310363859</v>
      </c>
      <c r="T2540" t="str">
        <f>"9780310355137"</f>
        <v>9780310355137</v>
      </c>
      <c r="U2540" t="b">
        <v>0</v>
      </c>
      <c r="W2540" t="b">
        <v>0</v>
      </c>
    </row>
    <row r="2541" spans="1:23" x14ac:dyDescent="0.3">
      <c r="A2541">
        <v>2980139</v>
      </c>
      <c r="B2541">
        <v>79.319999999999993</v>
      </c>
      <c r="C2541" t="s">
        <v>5641</v>
      </c>
      <c r="D2541" t="s">
        <v>2878</v>
      </c>
      <c r="E2541" t="s">
        <v>23</v>
      </c>
      <c r="F2541" t="s">
        <v>44</v>
      </c>
      <c r="G2541">
        <v>2020</v>
      </c>
      <c r="H2541" t="s">
        <v>954</v>
      </c>
      <c r="I2541" t="s">
        <v>1048</v>
      </c>
      <c r="J2541" t="s">
        <v>5642</v>
      </c>
      <c r="K2541" t="s">
        <v>25</v>
      </c>
      <c r="L2541" t="s">
        <v>26</v>
      </c>
      <c r="M2541" t="b">
        <v>1</v>
      </c>
      <c r="N2541" t="s">
        <v>5643</v>
      </c>
      <c r="O2541" t="str">
        <f>"233"</f>
        <v>233</v>
      </c>
      <c r="Q2541" t="b">
        <v>0</v>
      </c>
      <c r="S2541" t="str">
        <f>"9780310357643"</f>
        <v>9780310357643</v>
      </c>
      <c r="T2541" t="str">
        <f>"9780310357650"</f>
        <v>9780310357650</v>
      </c>
      <c r="U2541" t="b">
        <v>0</v>
      </c>
      <c r="W2541" t="b">
        <v>0</v>
      </c>
    </row>
    <row r="2542" spans="1:23" x14ac:dyDescent="0.3">
      <c r="A2542">
        <v>2980138</v>
      </c>
      <c r="B2542">
        <v>51.72</v>
      </c>
      <c r="C2542" t="s">
        <v>5644</v>
      </c>
      <c r="D2542" t="s">
        <v>5645</v>
      </c>
      <c r="E2542" t="s">
        <v>23</v>
      </c>
      <c r="F2542" t="s">
        <v>44</v>
      </c>
      <c r="G2542">
        <v>2013</v>
      </c>
      <c r="H2542" t="s">
        <v>132</v>
      </c>
      <c r="K2542" t="s">
        <v>25</v>
      </c>
      <c r="L2542" t="s">
        <v>30</v>
      </c>
      <c r="M2542" t="b">
        <v>1</v>
      </c>
      <c r="N2542" t="s">
        <v>5646</v>
      </c>
      <c r="Q2542" t="b">
        <v>0</v>
      </c>
      <c r="S2542" t="str">
        <f>"9780310336280"</f>
        <v>9780310336280</v>
      </c>
      <c r="T2542" t="str">
        <f>"9780310336297"</f>
        <v>9780310336297</v>
      </c>
      <c r="U2542" t="b">
        <v>0</v>
      </c>
      <c r="W2542" t="b">
        <v>0</v>
      </c>
    </row>
    <row r="2543" spans="1:23" x14ac:dyDescent="0.3">
      <c r="A2543">
        <v>2980137</v>
      </c>
      <c r="B2543">
        <v>51.72</v>
      </c>
      <c r="C2543" t="s">
        <v>5647</v>
      </c>
      <c r="E2543" t="s">
        <v>23</v>
      </c>
      <c r="F2543" t="s">
        <v>44</v>
      </c>
      <c r="G2543">
        <v>2010</v>
      </c>
      <c r="H2543" t="s">
        <v>66</v>
      </c>
      <c r="K2543" t="s">
        <v>25</v>
      </c>
      <c r="L2543" t="s">
        <v>30</v>
      </c>
      <c r="M2543" t="b">
        <v>1</v>
      </c>
      <c r="N2543" t="s">
        <v>3170</v>
      </c>
      <c r="Q2543" t="b">
        <v>1</v>
      </c>
      <c r="S2543" t="str">
        <f>"9780310249788"</f>
        <v>9780310249788</v>
      </c>
      <c r="T2543" t="str">
        <f>"9780310862031"</f>
        <v>9780310862031</v>
      </c>
      <c r="U2543" t="b">
        <v>0</v>
      </c>
      <c r="W2543" t="b">
        <v>0</v>
      </c>
    </row>
    <row r="2544" spans="1:23" x14ac:dyDescent="0.3">
      <c r="A2544">
        <v>2980136</v>
      </c>
      <c r="B2544">
        <v>17.22</v>
      </c>
      <c r="C2544" t="s">
        <v>5648</v>
      </c>
      <c r="D2544" t="s">
        <v>143</v>
      </c>
      <c r="E2544" t="s">
        <v>23</v>
      </c>
      <c r="F2544" t="s">
        <v>44</v>
      </c>
      <c r="G2544">
        <v>2011</v>
      </c>
      <c r="H2544" t="s">
        <v>34</v>
      </c>
      <c r="K2544" t="s">
        <v>25</v>
      </c>
      <c r="L2544" t="s">
        <v>30</v>
      </c>
      <c r="M2544" t="b">
        <v>1</v>
      </c>
      <c r="N2544" t="s">
        <v>1690</v>
      </c>
      <c r="P2544" t="s">
        <v>1691</v>
      </c>
      <c r="Q2544" t="b">
        <v>1</v>
      </c>
      <c r="S2544" t="str">
        <f>"9780310716075"</f>
        <v>9780310716075</v>
      </c>
      <c r="T2544" t="str">
        <f>"9780310862529"</f>
        <v>9780310862529</v>
      </c>
      <c r="U2544" t="b">
        <v>0</v>
      </c>
      <c r="W2544" t="b">
        <v>0</v>
      </c>
    </row>
    <row r="2545" spans="1:23" x14ac:dyDescent="0.3">
      <c r="A2545">
        <v>2980135</v>
      </c>
      <c r="B2545">
        <v>58.62</v>
      </c>
      <c r="C2545" t="s">
        <v>5649</v>
      </c>
      <c r="D2545" t="s">
        <v>5650</v>
      </c>
      <c r="E2545" t="s">
        <v>23</v>
      </c>
      <c r="F2545" t="s">
        <v>44</v>
      </c>
      <c r="G2545">
        <v>2018</v>
      </c>
      <c r="H2545" t="s">
        <v>58</v>
      </c>
      <c r="K2545" t="s">
        <v>25</v>
      </c>
      <c r="L2545" t="s">
        <v>26</v>
      </c>
      <c r="M2545" t="b">
        <v>1</v>
      </c>
      <c r="N2545" t="s">
        <v>5651</v>
      </c>
      <c r="Q2545" t="b">
        <v>0</v>
      </c>
      <c r="S2545" t="str">
        <f>"9780310347699"</f>
        <v>9780310347699</v>
      </c>
      <c r="T2545" t="str">
        <f>"9780310347026"</f>
        <v>9780310347026</v>
      </c>
      <c r="U2545" t="b">
        <v>0</v>
      </c>
      <c r="W2545" t="b">
        <v>0</v>
      </c>
    </row>
    <row r="2546" spans="1:23" x14ac:dyDescent="0.3">
      <c r="A2546">
        <v>2980134</v>
      </c>
      <c r="B2546">
        <v>65.52</v>
      </c>
      <c r="C2546" t="s">
        <v>5652</v>
      </c>
      <c r="D2546" t="s">
        <v>5653</v>
      </c>
      <c r="E2546" t="s">
        <v>23</v>
      </c>
      <c r="F2546" t="s">
        <v>44</v>
      </c>
      <c r="G2546">
        <v>2019</v>
      </c>
      <c r="H2546" t="s">
        <v>1076</v>
      </c>
      <c r="K2546" t="s">
        <v>25</v>
      </c>
      <c r="L2546" t="s">
        <v>26</v>
      </c>
      <c r="M2546" t="b">
        <v>1</v>
      </c>
      <c r="N2546" t="s">
        <v>5654</v>
      </c>
      <c r="Q2546" t="b">
        <v>0</v>
      </c>
      <c r="S2546" t="str">
        <f>"9780310356158"</f>
        <v>9780310356158</v>
      </c>
      <c r="T2546" t="str">
        <f>"9780310356202"</f>
        <v>9780310356202</v>
      </c>
      <c r="U2546" t="b">
        <v>0</v>
      </c>
      <c r="W2546" t="b">
        <v>0</v>
      </c>
    </row>
    <row r="2547" spans="1:23" x14ac:dyDescent="0.3">
      <c r="A2547">
        <v>2980133</v>
      </c>
      <c r="B2547">
        <v>53.27</v>
      </c>
      <c r="C2547" t="s">
        <v>5655</v>
      </c>
      <c r="D2547" t="s">
        <v>5656</v>
      </c>
      <c r="E2547" t="s">
        <v>23</v>
      </c>
      <c r="F2547" t="s">
        <v>44</v>
      </c>
      <c r="G2547">
        <v>2011</v>
      </c>
      <c r="H2547" t="s">
        <v>68</v>
      </c>
      <c r="K2547" t="s">
        <v>25</v>
      </c>
      <c r="L2547" t="s">
        <v>30</v>
      </c>
      <c r="M2547" t="b">
        <v>1</v>
      </c>
      <c r="N2547" t="s">
        <v>5657</v>
      </c>
      <c r="Q2547" t="b">
        <v>0</v>
      </c>
      <c r="T2547" t="str">
        <f>"9780310412571"</f>
        <v>9780310412571</v>
      </c>
      <c r="U2547" t="b">
        <v>0</v>
      </c>
      <c r="W2547" t="b">
        <v>0</v>
      </c>
    </row>
    <row r="2548" spans="1:23" x14ac:dyDescent="0.3">
      <c r="A2548">
        <v>2980132</v>
      </c>
      <c r="B2548">
        <v>55.17</v>
      </c>
      <c r="C2548" t="s">
        <v>5658</v>
      </c>
      <c r="E2548" t="s">
        <v>23</v>
      </c>
      <c r="F2548" t="s">
        <v>44</v>
      </c>
      <c r="G2548">
        <v>2015</v>
      </c>
      <c r="H2548" t="s">
        <v>728</v>
      </c>
      <c r="K2548" t="s">
        <v>25</v>
      </c>
      <c r="L2548" t="s">
        <v>26</v>
      </c>
      <c r="M2548" t="b">
        <v>1</v>
      </c>
      <c r="N2548" t="s">
        <v>4128</v>
      </c>
      <c r="Q2548" t="b">
        <v>1</v>
      </c>
      <c r="S2548" t="str">
        <f>"9780310341529"</f>
        <v>9780310341529</v>
      </c>
      <c r="T2548" t="str">
        <f>"9780310343332"</f>
        <v>9780310343332</v>
      </c>
      <c r="U2548" t="b">
        <v>0</v>
      </c>
      <c r="W2548" t="b">
        <v>0</v>
      </c>
    </row>
    <row r="2549" spans="1:23" x14ac:dyDescent="0.3">
      <c r="A2549">
        <v>2980131</v>
      </c>
      <c r="B2549">
        <v>86.22</v>
      </c>
      <c r="C2549" t="s">
        <v>5659</v>
      </c>
      <c r="D2549" t="s">
        <v>5660</v>
      </c>
      <c r="E2549" t="s">
        <v>23</v>
      </c>
      <c r="F2549" t="s">
        <v>44</v>
      </c>
      <c r="G2549">
        <v>2009</v>
      </c>
      <c r="H2549" t="s">
        <v>954</v>
      </c>
      <c r="K2549" t="s">
        <v>25</v>
      </c>
      <c r="L2549" t="s">
        <v>30</v>
      </c>
      <c r="M2549" t="b">
        <v>1</v>
      </c>
      <c r="N2549" t="s">
        <v>44</v>
      </c>
      <c r="Q2549" t="b">
        <v>0</v>
      </c>
      <c r="S2549" t="str">
        <f>"9780310263838"</f>
        <v>9780310263838</v>
      </c>
      <c r="T2549" t="str">
        <f>"9780310863304"</f>
        <v>9780310863304</v>
      </c>
      <c r="U2549" t="b">
        <v>0</v>
      </c>
      <c r="W2549" t="b">
        <v>0</v>
      </c>
    </row>
    <row r="2550" spans="1:23" x14ac:dyDescent="0.3">
      <c r="A2550">
        <v>2980130</v>
      </c>
      <c r="B2550">
        <v>58.62</v>
      </c>
      <c r="C2550" t="s">
        <v>5661</v>
      </c>
      <c r="D2550" t="s">
        <v>5662</v>
      </c>
      <c r="E2550" t="s">
        <v>23</v>
      </c>
      <c r="F2550" t="s">
        <v>44</v>
      </c>
      <c r="G2550">
        <v>2018</v>
      </c>
      <c r="H2550" t="s">
        <v>89</v>
      </c>
      <c r="K2550" t="s">
        <v>25</v>
      </c>
      <c r="L2550" t="s">
        <v>26</v>
      </c>
      <c r="M2550" t="b">
        <v>1</v>
      </c>
      <c r="N2550" t="s">
        <v>5663</v>
      </c>
      <c r="Q2550" t="b">
        <v>0</v>
      </c>
      <c r="S2550" t="str">
        <f>"9780310345770"</f>
        <v>9780310345770</v>
      </c>
      <c r="T2550" t="str">
        <f>"9780310345787"</f>
        <v>9780310345787</v>
      </c>
      <c r="U2550" t="b">
        <v>0</v>
      </c>
      <c r="W2550" t="b">
        <v>0</v>
      </c>
    </row>
    <row r="2551" spans="1:23" x14ac:dyDescent="0.3">
      <c r="A2551">
        <v>2980129</v>
      </c>
      <c r="B2551">
        <v>56.82</v>
      </c>
      <c r="C2551" t="s">
        <v>5664</v>
      </c>
      <c r="D2551" t="s">
        <v>5665</v>
      </c>
      <c r="E2551" t="s">
        <v>23</v>
      </c>
      <c r="F2551" t="s">
        <v>44</v>
      </c>
      <c r="G2551">
        <v>2011</v>
      </c>
      <c r="H2551" t="s">
        <v>62</v>
      </c>
      <c r="K2551" t="s">
        <v>25</v>
      </c>
      <c r="L2551" t="s">
        <v>30</v>
      </c>
      <c r="M2551" t="b">
        <v>1</v>
      </c>
      <c r="N2551" t="s">
        <v>5666</v>
      </c>
      <c r="Q2551" t="b">
        <v>0</v>
      </c>
      <c r="T2551" t="str">
        <f>"9780310555346"</f>
        <v>9780310555346</v>
      </c>
      <c r="U2551" t="b">
        <v>0</v>
      </c>
      <c r="W2551" t="b">
        <v>0</v>
      </c>
    </row>
    <row r="2552" spans="1:23" x14ac:dyDescent="0.3">
      <c r="A2552">
        <v>2980128</v>
      </c>
      <c r="B2552">
        <v>46.16</v>
      </c>
      <c r="C2552" t="s">
        <v>5667</v>
      </c>
      <c r="D2552" t="s">
        <v>970</v>
      </c>
      <c r="E2552" t="s">
        <v>23</v>
      </c>
      <c r="F2552" t="s">
        <v>44</v>
      </c>
      <c r="G2552">
        <v>2017</v>
      </c>
      <c r="H2552" t="s">
        <v>132</v>
      </c>
      <c r="K2552" t="s">
        <v>25</v>
      </c>
      <c r="L2552" t="s">
        <v>26</v>
      </c>
      <c r="M2552" t="b">
        <v>1</v>
      </c>
      <c r="N2552" t="s">
        <v>968</v>
      </c>
      <c r="Q2552" t="b">
        <v>0</v>
      </c>
      <c r="S2552" t="str">
        <f>"9780310347163"</f>
        <v>9780310347163</v>
      </c>
      <c r="T2552" t="str">
        <f>"9780310347200"</f>
        <v>9780310347200</v>
      </c>
      <c r="U2552" t="b">
        <v>0</v>
      </c>
      <c r="W2552" t="b">
        <v>0</v>
      </c>
    </row>
    <row r="2553" spans="1:23" x14ac:dyDescent="0.3">
      <c r="A2553">
        <v>2980127</v>
      </c>
      <c r="B2553">
        <v>71.03</v>
      </c>
      <c r="C2553" t="s">
        <v>5668</v>
      </c>
      <c r="D2553" t="s">
        <v>5669</v>
      </c>
      <c r="E2553" t="s">
        <v>23</v>
      </c>
      <c r="F2553" t="s">
        <v>44</v>
      </c>
      <c r="G2553">
        <v>2020</v>
      </c>
      <c r="H2553" t="s">
        <v>2535</v>
      </c>
      <c r="K2553" t="s">
        <v>25</v>
      </c>
      <c r="L2553" t="s">
        <v>30</v>
      </c>
      <c r="M2553" t="b">
        <v>1</v>
      </c>
      <c r="N2553" t="s">
        <v>3252</v>
      </c>
      <c r="P2553" t="s">
        <v>3253</v>
      </c>
      <c r="Q2553" t="b">
        <v>1</v>
      </c>
      <c r="T2553" t="str">
        <f>"9780310355977"</f>
        <v>9780310355977</v>
      </c>
      <c r="U2553" t="b">
        <v>0</v>
      </c>
      <c r="W2553" t="b">
        <v>0</v>
      </c>
    </row>
    <row r="2554" spans="1:23" x14ac:dyDescent="0.3">
      <c r="A2554">
        <v>2980126</v>
      </c>
      <c r="B2554">
        <v>58.62</v>
      </c>
      <c r="C2554" t="s">
        <v>5670</v>
      </c>
      <c r="D2554" t="s">
        <v>5671</v>
      </c>
      <c r="E2554" t="s">
        <v>23</v>
      </c>
      <c r="F2554" t="s">
        <v>44</v>
      </c>
      <c r="G2554">
        <v>2020</v>
      </c>
      <c r="H2554" t="s">
        <v>89</v>
      </c>
      <c r="K2554" t="s">
        <v>25</v>
      </c>
      <c r="L2554" t="s">
        <v>26</v>
      </c>
      <c r="M2554" t="b">
        <v>1</v>
      </c>
      <c r="N2554" t="s">
        <v>197</v>
      </c>
      <c r="Q2554" t="b">
        <v>0</v>
      </c>
      <c r="S2554" t="str">
        <f>"9781400317608"</f>
        <v>9781400317608</v>
      </c>
      <c r="T2554" t="str">
        <f>"9781400209804"</f>
        <v>9781400209804</v>
      </c>
      <c r="U2554" t="b">
        <v>0</v>
      </c>
      <c r="W2554" t="b">
        <v>0</v>
      </c>
    </row>
    <row r="2555" spans="1:23" x14ac:dyDescent="0.3">
      <c r="A2555">
        <v>2980125</v>
      </c>
      <c r="B2555">
        <v>79.319999999999993</v>
      </c>
      <c r="C2555" t="s">
        <v>5672</v>
      </c>
      <c r="D2555" t="s">
        <v>5673</v>
      </c>
      <c r="E2555" t="s">
        <v>23</v>
      </c>
      <c r="F2555" t="s">
        <v>44</v>
      </c>
      <c r="G2555">
        <v>2020</v>
      </c>
      <c r="H2555" t="s">
        <v>705</v>
      </c>
      <c r="I2555" t="s">
        <v>5674</v>
      </c>
      <c r="J2555" t="s">
        <v>5675</v>
      </c>
      <c r="K2555" t="s">
        <v>25</v>
      </c>
      <c r="L2555" t="s">
        <v>26</v>
      </c>
      <c r="M2555" t="b">
        <v>1</v>
      </c>
      <c r="N2555" t="s">
        <v>44</v>
      </c>
      <c r="O2555" t="str">
        <f>"248.8/2"</f>
        <v>248.8/2</v>
      </c>
      <c r="Q2555" t="b">
        <v>0</v>
      </c>
      <c r="S2555" t="str">
        <f>"9780310104919"</f>
        <v>9780310104919</v>
      </c>
      <c r="T2555" t="str">
        <f>"9780310104933"</f>
        <v>9780310104933</v>
      </c>
      <c r="U2555" t="b">
        <v>0</v>
      </c>
      <c r="W2555" t="b">
        <v>0</v>
      </c>
    </row>
    <row r="2556" spans="1:23" x14ac:dyDescent="0.3">
      <c r="A2556">
        <v>2980124</v>
      </c>
      <c r="B2556">
        <v>53.27</v>
      </c>
      <c r="C2556" t="s">
        <v>5676</v>
      </c>
      <c r="D2556" t="s">
        <v>5677</v>
      </c>
      <c r="E2556" t="s">
        <v>23</v>
      </c>
      <c r="F2556" t="s">
        <v>44</v>
      </c>
      <c r="G2556">
        <v>2010</v>
      </c>
      <c r="H2556" t="s">
        <v>99</v>
      </c>
      <c r="K2556" t="s">
        <v>25</v>
      </c>
      <c r="L2556" t="s">
        <v>30</v>
      </c>
      <c r="M2556" t="b">
        <v>1</v>
      </c>
      <c r="N2556" t="s">
        <v>135</v>
      </c>
      <c r="Q2556" t="b">
        <v>0</v>
      </c>
      <c r="T2556" t="str">
        <f>"9780310871538"</f>
        <v>9780310871538</v>
      </c>
      <c r="U2556" t="b">
        <v>0</v>
      </c>
      <c r="W2556" t="b">
        <v>0</v>
      </c>
    </row>
    <row r="2557" spans="1:23" x14ac:dyDescent="0.3">
      <c r="A2557">
        <v>2980123</v>
      </c>
      <c r="B2557">
        <v>62.07</v>
      </c>
      <c r="C2557" t="s">
        <v>5678</v>
      </c>
      <c r="E2557" t="s">
        <v>23</v>
      </c>
      <c r="F2557" t="s">
        <v>44</v>
      </c>
      <c r="G2557">
        <v>2020</v>
      </c>
      <c r="H2557" t="s">
        <v>24</v>
      </c>
      <c r="K2557" t="s">
        <v>25</v>
      </c>
      <c r="L2557" t="s">
        <v>26</v>
      </c>
      <c r="M2557" t="b">
        <v>1</v>
      </c>
      <c r="N2557" t="s">
        <v>711</v>
      </c>
      <c r="Q2557" t="b">
        <v>0</v>
      </c>
      <c r="S2557" t="str">
        <f>"9780310455394"</f>
        <v>9780310455394</v>
      </c>
      <c r="T2557" t="str">
        <f>"9780310455417"</f>
        <v>9780310455417</v>
      </c>
      <c r="U2557" t="b">
        <v>0</v>
      </c>
      <c r="W2557" t="b">
        <v>0</v>
      </c>
    </row>
    <row r="2558" spans="1:23" x14ac:dyDescent="0.3">
      <c r="A2558">
        <v>2980122</v>
      </c>
      <c r="B2558">
        <v>35.5</v>
      </c>
      <c r="C2558" t="s">
        <v>5679</v>
      </c>
      <c r="E2558" t="s">
        <v>23</v>
      </c>
      <c r="F2558" t="s">
        <v>44</v>
      </c>
      <c r="G2558">
        <v>2010</v>
      </c>
      <c r="H2558" t="s">
        <v>4029</v>
      </c>
      <c r="K2558" t="s">
        <v>25</v>
      </c>
      <c r="L2558" t="s">
        <v>30</v>
      </c>
      <c r="M2558" t="b">
        <v>1</v>
      </c>
      <c r="N2558" t="s">
        <v>408</v>
      </c>
      <c r="P2558" t="s">
        <v>4030</v>
      </c>
      <c r="Q2558" t="b">
        <v>0</v>
      </c>
      <c r="T2558" t="str">
        <f>"9780310426677"</f>
        <v>9780310426677</v>
      </c>
      <c r="U2558" t="b">
        <v>0</v>
      </c>
      <c r="W2558" t="b">
        <v>0</v>
      </c>
    </row>
    <row r="2559" spans="1:23" x14ac:dyDescent="0.3">
      <c r="A2559">
        <v>2980121</v>
      </c>
      <c r="B2559">
        <v>68.97</v>
      </c>
      <c r="C2559" t="s">
        <v>5680</v>
      </c>
      <c r="D2559" t="s">
        <v>5681</v>
      </c>
      <c r="E2559" t="s">
        <v>23</v>
      </c>
      <c r="F2559" t="s">
        <v>44</v>
      </c>
      <c r="G2559">
        <v>2016</v>
      </c>
      <c r="H2559" t="s">
        <v>912</v>
      </c>
      <c r="K2559" t="s">
        <v>25</v>
      </c>
      <c r="L2559" t="s">
        <v>26</v>
      </c>
      <c r="M2559" t="b">
        <v>1</v>
      </c>
      <c r="N2559" t="s">
        <v>5682</v>
      </c>
      <c r="Q2559" t="b">
        <v>0</v>
      </c>
      <c r="S2559" t="str">
        <f>"9780310347873"</f>
        <v>9780310347873</v>
      </c>
      <c r="T2559" t="str">
        <f>"9780310347880"</f>
        <v>9780310347880</v>
      </c>
      <c r="U2559" t="b">
        <v>0</v>
      </c>
      <c r="W2559" t="b">
        <v>0</v>
      </c>
    </row>
    <row r="2560" spans="1:23" x14ac:dyDescent="0.3">
      <c r="A2560">
        <v>2980120</v>
      </c>
      <c r="B2560">
        <v>55.17</v>
      </c>
      <c r="C2560" t="s">
        <v>5683</v>
      </c>
      <c r="E2560" t="s">
        <v>23</v>
      </c>
      <c r="F2560" t="s">
        <v>44</v>
      </c>
      <c r="G2560">
        <v>2016</v>
      </c>
      <c r="H2560" t="s">
        <v>728</v>
      </c>
      <c r="K2560" t="s">
        <v>25</v>
      </c>
      <c r="L2560" t="s">
        <v>26</v>
      </c>
      <c r="M2560" t="b">
        <v>1</v>
      </c>
      <c r="N2560" t="s">
        <v>3973</v>
      </c>
      <c r="P2560" t="s">
        <v>3974</v>
      </c>
      <c r="Q2560" t="b">
        <v>1</v>
      </c>
      <c r="S2560" t="str">
        <f>"9780310345398"</f>
        <v>9780310345398</v>
      </c>
      <c r="T2560" t="str">
        <f>"9780718077754"</f>
        <v>9780718077754</v>
      </c>
      <c r="U2560" t="b">
        <v>0</v>
      </c>
      <c r="W2560" t="b">
        <v>0</v>
      </c>
    </row>
    <row r="2561" spans="1:23" x14ac:dyDescent="0.3">
      <c r="A2561">
        <v>2980119</v>
      </c>
      <c r="B2561">
        <v>65.52</v>
      </c>
      <c r="C2561" t="s">
        <v>5684</v>
      </c>
      <c r="D2561" t="s">
        <v>4255</v>
      </c>
      <c r="E2561" t="s">
        <v>23</v>
      </c>
      <c r="F2561" t="s">
        <v>44</v>
      </c>
      <c r="G2561">
        <v>2009</v>
      </c>
      <c r="H2561" t="s">
        <v>56</v>
      </c>
      <c r="K2561" t="s">
        <v>25</v>
      </c>
      <c r="L2561" t="s">
        <v>26</v>
      </c>
      <c r="M2561" t="b">
        <v>1</v>
      </c>
      <c r="N2561" t="s">
        <v>2673</v>
      </c>
      <c r="Q2561" t="b">
        <v>0</v>
      </c>
      <c r="S2561" t="str">
        <f>"9780310361985"</f>
        <v>9780310361985</v>
      </c>
      <c r="T2561" t="str">
        <f>"9780310541004"</f>
        <v>9780310541004</v>
      </c>
      <c r="U2561" t="b">
        <v>0</v>
      </c>
      <c r="W2561" t="b">
        <v>0</v>
      </c>
    </row>
    <row r="2562" spans="1:23" x14ac:dyDescent="0.3">
      <c r="A2562">
        <v>2980118</v>
      </c>
      <c r="B2562">
        <v>42.61</v>
      </c>
      <c r="C2562" t="s">
        <v>5685</v>
      </c>
      <c r="E2562" t="s">
        <v>23</v>
      </c>
      <c r="F2562" t="s">
        <v>44</v>
      </c>
      <c r="G2562">
        <v>2009</v>
      </c>
      <c r="H2562" t="s">
        <v>381</v>
      </c>
      <c r="K2562" t="s">
        <v>25</v>
      </c>
      <c r="L2562" t="s">
        <v>30</v>
      </c>
      <c r="M2562" t="b">
        <v>1</v>
      </c>
      <c r="N2562" t="s">
        <v>2686</v>
      </c>
      <c r="Q2562" t="b">
        <v>0</v>
      </c>
      <c r="T2562" t="str">
        <f>"9780310560098"</f>
        <v>9780310560098</v>
      </c>
      <c r="U2562" t="b">
        <v>0</v>
      </c>
      <c r="W2562" t="b">
        <v>0</v>
      </c>
    </row>
    <row r="2563" spans="1:23" x14ac:dyDescent="0.3">
      <c r="A2563">
        <v>2980117</v>
      </c>
      <c r="B2563">
        <v>51.72</v>
      </c>
      <c r="C2563" t="s">
        <v>5686</v>
      </c>
      <c r="D2563" t="s">
        <v>5687</v>
      </c>
      <c r="E2563" t="s">
        <v>23</v>
      </c>
      <c r="F2563" t="s">
        <v>44</v>
      </c>
      <c r="G2563">
        <v>2011</v>
      </c>
      <c r="H2563" t="s">
        <v>99</v>
      </c>
      <c r="K2563" t="s">
        <v>25</v>
      </c>
      <c r="L2563" t="s">
        <v>30</v>
      </c>
      <c r="M2563" t="b">
        <v>1</v>
      </c>
      <c r="N2563" t="s">
        <v>5688</v>
      </c>
      <c r="Q2563" t="b">
        <v>0</v>
      </c>
      <c r="S2563" t="str">
        <f>"9780310293392"</f>
        <v>9780310293392</v>
      </c>
      <c r="T2563" t="str">
        <f>"9780310862444"</f>
        <v>9780310862444</v>
      </c>
      <c r="U2563" t="b">
        <v>0</v>
      </c>
      <c r="W2563" t="b">
        <v>0</v>
      </c>
    </row>
    <row r="2564" spans="1:23" x14ac:dyDescent="0.3">
      <c r="A2564">
        <v>2980116</v>
      </c>
      <c r="B2564">
        <v>100.02</v>
      </c>
      <c r="C2564" t="s">
        <v>5689</v>
      </c>
      <c r="D2564" t="s">
        <v>5690</v>
      </c>
      <c r="E2564" t="s">
        <v>23</v>
      </c>
      <c r="F2564" t="s">
        <v>44</v>
      </c>
      <c r="G2564">
        <v>2020</v>
      </c>
      <c r="H2564" t="s">
        <v>804</v>
      </c>
      <c r="I2564" t="s">
        <v>3285</v>
      </c>
      <c r="J2564" t="s">
        <v>5691</v>
      </c>
      <c r="K2564" t="s">
        <v>25</v>
      </c>
      <c r="L2564" t="s">
        <v>26</v>
      </c>
      <c r="M2564" t="b">
        <v>1</v>
      </c>
      <c r="N2564" t="s">
        <v>5692</v>
      </c>
      <c r="O2564" t="str">
        <f>"248.4"</f>
        <v>248.4</v>
      </c>
      <c r="Q2564" t="b">
        <v>0</v>
      </c>
      <c r="S2564" t="str">
        <f>"9780310100966"</f>
        <v>9780310100966</v>
      </c>
      <c r="T2564" t="str">
        <f>"9780310100973"</f>
        <v>9780310100973</v>
      </c>
      <c r="U2564" t="b">
        <v>0</v>
      </c>
      <c r="W2564" t="b">
        <v>0</v>
      </c>
    </row>
    <row r="2565" spans="1:23" x14ac:dyDescent="0.3">
      <c r="A2565">
        <v>2980115</v>
      </c>
      <c r="B2565">
        <v>55.17</v>
      </c>
      <c r="C2565" t="s">
        <v>5693</v>
      </c>
      <c r="E2565" t="s">
        <v>23</v>
      </c>
      <c r="F2565" t="s">
        <v>44</v>
      </c>
      <c r="G2565">
        <v>2010</v>
      </c>
      <c r="H2565" t="s">
        <v>74</v>
      </c>
      <c r="K2565" t="s">
        <v>25</v>
      </c>
      <c r="L2565" t="s">
        <v>30</v>
      </c>
      <c r="M2565" t="b">
        <v>1</v>
      </c>
      <c r="N2565" t="s">
        <v>31</v>
      </c>
      <c r="P2565" t="s">
        <v>4070</v>
      </c>
      <c r="Q2565" t="b">
        <v>1</v>
      </c>
      <c r="S2565" t="str">
        <f>"9780310342670"</f>
        <v>9780310342670</v>
      </c>
      <c r="T2565" t="str">
        <f>"9780310564683"</f>
        <v>9780310564683</v>
      </c>
      <c r="U2565" t="b">
        <v>0</v>
      </c>
      <c r="W2565" t="b">
        <v>0</v>
      </c>
    </row>
    <row r="2566" spans="1:23" x14ac:dyDescent="0.3">
      <c r="A2566">
        <v>2980114</v>
      </c>
      <c r="B2566">
        <v>51.72</v>
      </c>
      <c r="C2566" t="s">
        <v>5694</v>
      </c>
      <c r="E2566" t="s">
        <v>23</v>
      </c>
      <c r="F2566" t="s">
        <v>44</v>
      </c>
      <c r="G2566">
        <v>2019</v>
      </c>
      <c r="H2566" t="s">
        <v>62</v>
      </c>
      <c r="K2566" t="s">
        <v>25</v>
      </c>
      <c r="L2566" t="s">
        <v>26</v>
      </c>
      <c r="M2566" t="b">
        <v>1</v>
      </c>
      <c r="N2566" t="s">
        <v>2825</v>
      </c>
      <c r="P2566" t="s">
        <v>5180</v>
      </c>
      <c r="Q2566" t="b">
        <v>0</v>
      </c>
      <c r="S2566" t="str">
        <f>"9780310339625"</f>
        <v>9780310339625</v>
      </c>
      <c r="T2566" t="str">
        <f>"9780310453673"</f>
        <v>9780310453673</v>
      </c>
      <c r="U2566" t="b">
        <v>0</v>
      </c>
      <c r="W2566" t="b">
        <v>0</v>
      </c>
    </row>
    <row r="2567" spans="1:23" x14ac:dyDescent="0.3">
      <c r="A2567">
        <v>2980113</v>
      </c>
      <c r="B2567">
        <v>65.52</v>
      </c>
      <c r="C2567" t="s">
        <v>5695</v>
      </c>
      <c r="D2567" t="s">
        <v>5696</v>
      </c>
      <c r="E2567" t="s">
        <v>23</v>
      </c>
      <c r="F2567" t="s">
        <v>44</v>
      </c>
      <c r="G2567">
        <v>2017</v>
      </c>
      <c r="H2567" t="s">
        <v>24</v>
      </c>
      <c r="K2567" t="s">
        <v>25</v>
      </c>
      <c r="L2567" t="s">
        <v>26</v>
      </c>
      <c r="M2567" t="b">
        <v>1</v>
      </c>
      <c r="N2567" t="s">
        <v>2673</v>
      </c>
      <c r="Q2567" t="b">
        <v>0</v>
      </c>
      <c r="S2567" t="str">
        <f>"9780310348047"</f>
        <v>9780310348047</v>
      </c>
      <c r="T2567" t="str">
        <f>"9780310348078"</f>
        <v>9780310348078</v>
      </c>
      <c r="U2567" t="b">
        <v>0</v>
      </c>
      <c r="W2567" t="b">
        <v>0</v>
      </c>
    </row>
    <row r="2568" spans="1:23" x14ac:dyDescent="0.3">
      <c r="A2568">
        <v>2980112</v>
      </c>
      <c r="B2568">
        <v>28.39</v>
      </c>
      <c r="C2568" t="s">
        <v>5697</v>
      </c>
      <c r="E2568" t="s">
        <v>23</v>
      </c>
      <c r="F2568" t="s">
        <v>44</v>
      </c>
      <c r="G2568">
        <v>2009</v>
      </c>
      <c r="H2568" t="s">
        <v>772</v>
      </c>
      <c r="K2568" t="s">
        <v>25</v>
      </c>
      <c r="L2568" t="s">
        <v>30</v>
      </c>
      <c r="M2568" t="b">
        <v>1</v>
      </c>
      <c r="N2568" t="s">
        <v>3066</v>
      </c>
      <c r="P2568" t="s">
        <v>4067</v>
      </c>
      <c r="Q2568" t="b">
        <v>1</v>
      </c>
      <c r="T2568" t="str">
        <f>"9780310834281"</f>
        <v>9780310834281</v>
      </c>
      <c r="U2568" t="b">
        <v>0</v>
      </c>
      <c r="V2568" t="s">
        <v>4308</v>
      </c>
      <c r="W2568" t="b">
        <v>0</v>
      </c>
    </row>
    <row r="2569" spans="1:23" x14ac:dyDescent="0.3">
      <c r="A2569">
        <v>2980111</v>
      </c>
      <c r="B2569">
        <v>42.61</v>
      </c>
      <c r="C2569" t="s">
        <v>5698</v>
      </c>
      <c r="E2569" t="s">
        <v>23</v>
      </c>
      <c r="F2569" t="s">
        <v>44</v>
      </c>
      <c r="G2569">
        <v>2009</v>
      </c>
      <c r="H2569" t="s">
        <v>132</v>
      </c>
      <c r="K2569" t="s">
        <v>25</v>
      </c>
      <c r="L2569" t="s">
        <v>30</v>
      </c>
      <c r="M2569" t="b">
        <v>1</v>
      </c>
      <c r="N2569" t="s">
        <v>3947</v>
      </c>
      <c r="Q2569" t="b">
        <v>0</v>
      </c>
      <c r="T2569" t="str">
        <f>"9780310865926"</f>
        <v>9780310865926</v>
      </c>
      <c r="U2569" t="b">
        <v>0</v>
      </c>
      <c r="W2569" t="b">
        <v>0</v>
      </c>
    </row>
    <row r="2570" spans="1:23" x14ac:dyDescent="0.3">
      <c r="A2570">
        <v>2980110</v>
      </c>
      <c r="B2570">
        <v>55.17</v>
      </c>
      <c r="C2570" t="s">
        <v>5699</v>
      </c>
      <c r="D2570" t="s">
        <v>5700</v>
      </c>
      <c r="E2570" t="s">
        <v>23</v>
      </c>
      <c r="F2570" t="s">
        <v>44</v>
      </c>
      <c r="G2570">
        <v>2010</v>
      </c>
      <c r="H2570" t="s">
        <v>69</v>
      </c>
      <c r="K2570" t="s">
        <v>25</v>
      </c>
      <c r="L2570" t="s">
        <v>30</v>
      </c>
      <c r="M2570" t="b">
        <v>1</v>
      </c>
      <c r="N2570" t="s">
        <v>2324</v>
      </c>
      <c r="P2570" t="s">
        <v>5701</v>
      </c>
      <c r="Q2570" t="b">
        <v>0</v>
      </c>
      <c r="S2570" t="str">
        <f>"9780310219354"</f>
        <v>9780310219354</v>
      </c>
      <c r="T2570" t="str">
        <f>"9780310863939"</f>
        <v>9780310863939</v>
      </c>
      <c r="U2570" t="b">
        <v>0</v>
      </c>
      <c r="W2570" t="b">
        <v>0</v>
      </c>
    </row>
    <row r="2571" spans="1:23" x14ac:dyDescent="0.3">
      <c r="A2571">
        <v>2980109</v>
      </c>
      <c r="B2571">
        <v>55.17</v>
      </c>
      <c r="C2571" t="s">
        <v>5702</v>
      </c>
      <c r="D2571" t="s">
        <v>5703</v>
      </c>
      <c r="E2571" t="s">
        <v>23</v>
      </c>
      <c r="F2571" t="s">
        <v>44</v>
      </c>
      <c r="G2571">
        <v>2009</v>
      </c>
      <c r="H2571" t="s">
        <v>58</v>
      </c>
      <c r="I2571" t="s">
        <v>5704</v>
      </c>
      <c r="J2571" t="s">
        <v>5705</v>
      </c>
      <c r="K2571" t="s">
        <v>25</v>
      </c>
      <c r="L2571" t="s">
        <v>30</v>
      </c>
      <c r="M2571" t="b">
        <v>1</v>
      </c>
      <c r="N2571" t="s">
        <v>3192</v>
      </c>
      <c r="O2571" t="str">
        <f>"243"</f>
        <v>243</v>
      </c>
      <c r="Q2571" t="b">
        <v>0</v>
      </c>
      <c r="S2571" t="str">
        <f>"9780310251552"</f>
        <v>9780310251552</v>
      </c>
      <c r="T2571" t="str">
        <f>"9780310862079"</f>
        <v>9780310862079</v>
      </c>
      <c r="U2571" t="b">
        <v>0</v>
      </c>
      <c r="W2571" t="b">
        <v>0</v>
      </c>
    </row>
    <row r="2572" spans="1:23" x14ac:dyDescent="0.3">
      <c r="A2572">
        <v>2980108</v>
      </c>
      <c r="B2572">
        <v>14.18</v>
      </c>
      <c r="C2572" t="s">
        <v>5706</v>
      </c>
      <c r="E2572" t="s">
        <v>23</v>
      </c>
      <c r="F2572" t="s">
        <v>44</v>
      </c>
      <c r="G2572">
        <v>2012</v>
      </c>
      <c r="H2572" t="s">
        <v>728</v>
      </c>
      <c r="K2572" t="s">
        <v>25</v>
      </c>
      <c r="L2572" t="s">
        <v>30</v>
      </c>
      <c r="M2572" t="b">
        <v>1</v>
      </c>
      <c r="N2572" t="s">
        <v>5707</v>
      </c>
      <c r="Q2572" t="b">
        <v>1</v>
      </c>
      <c r="T2572" t="str">
        <f>"9780310334156"</f>
        <v>9780310334156</v>
      </c>
      <c r="U2572" t="b">
        <v>0</v>
      </c>
      <c r="W2572" t="b">
        <v>0</v>
      </c>
    </row>
    <row r="2573" spans="1:23" x14ac:dyDescent="0.3">
      <c r="A2573">
        <v>2980107</v>
      </c>
      <c r="B2573">
        <v>51.72</v>
      </c>
      <c r="C2573" t="s">
        <v>5708</v>
      </c>
      <c r="D2573" t="s">
        <v>5709</v>
      </c>
      <c r="E2573" t="s">
        <v>23</v>
      </c>
      <c r="F2573" t="s">
        <v>44</v>
      </c>
      <c r="G2573">
        <v>2019</v>
      </c>
      <c r="H2573" t="s">
        <v>58</v>
      </c>
      <c r="K2573" t="s">
        <v>25</v>
      </c>
      <c r="L2573" t="s">
        <v>26</v>
      </c>
      <c r="M2573" t="b">
        <v>1</v>
      </c>
      <c r="N2573" t="s">
        <v>44</v>
      </c>
      <c r="Q2573" t="b">
        <v>0</v>
      </c>
      <c r="S2573" t="str">
        <f>"9780310453901"</f>
        <v>9780310453901</v>
      </c>
      <c r="T2573" t="str">
        <f>"9780310453925"</f>
        <v>9780310453925</v>
      </c>
      <c r="U2573" t="b">
        <v>0</v>
      </c>
      <c r="W2573" t="b">
        <v>0</v>
      </c>
    </row>
    <row r="2574" spans="1:23" x14ac:dyDescent="0.3">
      <c r="A2574">
        <v>2980106</v>
      </c>
      <c r="B2574">
        <v>14.18</v>
      </c>
      <c r="C2574" t="s">
        <v>5710</v>
      </c>
      <c r="D2574" t="s">
        <v>5132</v>
      </c>
      <c r="E2574" t="s">
        <v>23</v>
      </c>
      <c r="F2574" t="s">
        <v>44</v>
      </c>
      <c r="G2574">
        <v>2020</v>
      </c>
      <c r="H2574" t="s">
        <v>772</v>
      </c>
      <c r="K2574" t="s">
        <v>25</v>
      </c>
      <c r="L2574" t="s">
        <v>30</v>
      </c>
      <c r="M2574" t="b">
        <v>1</v>
      </c>
      <c r="N2574" t="s">
        <v>776</v>
      </c>
      <c r="Q2574" t="b">
        <v>1</v>
      </c>
      <c r="T2574" t="str">
        <f>"9780310357902"</f>
        <v>9780310357902</v>
      </c>
      <c r="U2574" t="b">
        <v>0</v>
      </c>
      <c r="W2574" t="b">
        <v>0</v>
      </c>
    </row>
    <row r="2575" spans="1:23" x14ac:dyDescent="0.3">
      <c r="A2575">
        <v>2980105</v>
      </c>
      <c r="B2575">
        <v>34.47</v>
      </c>
      <c r="C2575" t="s">
        <v>5711</v>
      </c>
      <c r="E2575" t="s">
        <v>23</v>
      </c>
      <c r="F2575" t="s">
        <v>44</v>
      </c>
      <c r="G2575">
        <v>2009</v>
      </c>
      <c r="H2575" t="s">
        <v>3365</v>
      </c>
      <c r="K2575" t="s">
        <v>25</v>
      </c>
      <c r="L2575" t="s">
        <v>30</v>
      </c>
      <c r="M2575" t="b">
        <v>1</v>
      </c>
      <c r="N2575" t="s">
        <v>1721</v>
      </c>
      <c r="P2575" t="s">
        <v>3366</v>
      </c>
      <c r="Q2575" t="b">
        <v>0</v>
      </c>
      <c r="S2575" t="str">
        <f>"9780310714217"</f>
        <v>9780310714217</v>
      </c>
      <c r="T2575" t="str">
        <f>"9780310856702"</f>
        <v>9780310856702</v>
      </c>
      <c r="U2575" t="b">
        <v>0</v>
      </c>
      <c r="W2575" t="b">
        <v>0</v>
      </c>
    </row>
    <row r="2576" spans="1:23" x14ac:dyDescent="0.3">
      <c r="A2576">
        <v>2980104</v>
      </c>
      <c r="B2576">
        <v>65.52</v>
      </c>
      <c r="C2576" t="s">
        <v>5712</v>
      </c>
      <c r="D2576" t="s">
        <v>5713</v>
      </c>
      <c r="E2576" t="s">
        <v>23</v>
      </c>
      <c r="F2576" t="s">
        <v>44</v>
      </c>
      <c r="G2576">
        <v>2020</v>
      </c>
      <c r="H2576" t="s">
        <v>1122</v>
      </c>
      <c r="I2576" t="s">
        <v>5714</v>
      </c>
      <c r="J2576" t="s">
        <v>5715</v>
      </c>
      <c r="K2576" t="s">
        <v>25</v>
      </c>
      <c r="L2576" t="s">
        <v>26</v>
      </c>
      <c r="M2576" t="b">
        <v>1</v>
      </c>
      <c r="N2576" t="s">
        <v>5716</v>
      </c>
      <c r="O2576" t="str">
        <f>"261.52"</f>
        <v>261.52</v>
      </c>
      <c r="Q2576" t="b">
        <v>0</v>
      </c>
      <c r="S2576" t="str">
        <f>"9780310103868"</f>
        <v>9780310103868</v>
      </c>
      <c r="T2576" t="str">
        <f>"9780310104018"</f>
        <v>9780310104018</v>
      </c>
      <c r="U2576" t="b">
        <v>0</v>
      </c>
      <c r="W2576" t="b">
        <v>0</v>
      </c>
    </row>
    <row r="2577" spans="1:23" x14ac:dyDescent="0.3">
      <c r="A2577">
        <v>2980103</v>
      </c>
      <c r="B2577">
        <v>58.62</v>
      </c>
      <c r="C2577" t="s">
        <v>5717</v>
      </c>
      <c r="E2577" t="s">
        <v>23</v>
      </c>
      <c r="F2577" t="s">
        <v>44</v>
      </c>
      <c r="G2577">
        <v>2011</v>
      </c>
      <c r="H2577" t="s">
        <v>89</v>
      </c>
      <c r="K2577" t="s">
        <v>25</v>
      </c>
      <c r="L2577" t="s">
        <v>30</v>
      </c>
      <c r="M2577" t="b">
        <v>1</v>
      </c>
      <c r="N2577" t="s">
        <v>5718</v>
      </c>
      <c r="Q2577" t="b">
        <v>0</v>
      </c>
      <c r="S2577" t="str">
        <f>"9780310332954"</f>
        <v>9780310332954</v>
      </c>
      <c r="T2577" t="str">
        <f>"9780310334422"</f>
        <v>9780310334422</v>
      </c>
      <c r="U2577" t="b">
        <v>0</v>
      </c>
      <c r="W2577" t="b">
        <v>0</v>
      </c>
    </row>
    <row r="2578" spans="1:23" x14ac:dyDescent="0.3">
      <c r="A2578">
        <v>2980102</v>
      </c>
      <c r="B2578">
        <v>51.72</v>
      </c>
      <c r="C2578" t="s">
        <v>5719</v>
      </c>
      <c r="D2578" t="s">
        <v>5720</v>
      </c>
      <c r="E2578" t="s">
        <v>23</v>
      </c>
      <c r="F2578" t="s">
        <v>44</v>
      </c>
      <c r="G2578">
        <v>2013</v>
      </c>
      <c r="H2578" t="s">
        <v>24</v>
      </c>
      <c r="K2578" t="s">
        <v>25</v>
      </c>
      <c r="L2578" t="s">
        <v>30</v>
      </c>
      <c r="M2578" t="b">
        <v>1</v>
      </c>
      <c r="N2578" t="s">
        <v>3049</v>
      </c>
      <c r="Q2578" t="b">
        <v>0</v>
      </c>
      <c r="S2578" t="str">
        <f>"9780310308669"</f>
        <v>9780310308669</v>
      </c>
      <c r="T2578" t="str">
        <f>"9780310309239"</f>
        <v>9780310309239</v>
      </c>
      <c r="U2578" t="b">
        <v>0</v>
      </c>
      <c r="W2578" t="b">
        <v>0</v>
      </c>
    </row>
    <row r="2579" spans="1:23" x14ac:dyDescent="0.3">
      <c r="A2579">
        <v>2980101</v>
      </c>
      <c r="B2579">
        <v>93.12</v>
      </c>
      <c r="C2579" t="s">
        <v>5721</v>
      </c>
      <c r="D2579" t="s">
        <v>5722</v>
      </c>
      <c r="E2579" t="s">
        <v>23</v>
      </c>
      <c r="F2579" t="s">
        <v>44</v>
      </c>
      <c r="G2579">
        <v>2019</v>
      </c>
      <c r="H2579" t="s">
        <v>1076</v>
      </c>
      <c r="K2579" t="s">
        <v>25</v>
      </c>
      <c r="L2579" t="s">
        <v>26</v>
      </c>
      <c r="M2579" t="b">
        <v>1</v>
      </c>
      <c r="N2579" t="s">
        <v>5723</v>
      </c>
      <c r="Q2579" t="b">
        <v>0</v>
      </c>
      <c r="S2579" t="str">
        <f>"9780310355038"</f>
        <v>9780310355038</v>
      </c>
      <c r="T2579" t="str">
        <f>"9780310355052"</f>
        <v>9780310355052</v>
      </c>
      <c r="U2579" t="b">
        <v>0</v>
      </c>
      <c r="W2579" t="b">
        <v>0</v>
      </c>
    </row>
    <row r="2580" spans="1:23" x14ac:dyDescent="0.3">
      <c r="A2580">
        <v>2980100</v>
      </c>
      <c r="B2580">
        <v>55.17</v>
      </c>
      <c r="C2580" t="s">
        <v>5724</v>
      </c>
      <c r="E2580" t="s">
        <v>23</v>
      </c>
      <c r="F2580" t="s">
        <v>44</v>
      </c>
      <c r="G2580">
        <v>2010</v>
      </c>
      <c r="H2580" t="s">
        <v>66</v>
      </c>
      <c r="K2580" t="s">
        <v>25</v>
      </c>
      <c r="L2580" t="s">
        <v>30</v>
      </c>
      <c r="M2580" t="b">
        <v>1</v>
      </c>
      <c r="N2580" t="s">
        <v>77</v>
      </c>
      <c r="P2580" t="s">
        <v>3886</v>
      </c>
      <c r="Q2580" t="b">
        <v>1</v>
      </c>
      <c r="S2580" t="str">
        <f>"9780310200154"</f>
        <v>9780310200154</v>
      </c>
      <c r="T2580" t="str">
        <f>"9780310858560"</f>
        <v>9780310858560</v>
      </c>
      <c r="U2580" t="b">
        <v>0</v>
      </c>
      <c r="W2580" t="b">
        <v>0</v>
      </c>
    </row>
    <row r="2581" spans="1:23" x14ac:dyDescent="0.3">
      <c r="A2581">
        <v>2980099</v>
      </c>
      <c r="B2581">
        <v>51.72</v>
      </c>
      <c r="C2581" t="s">
        <v>5725</v>
      </c>
      <c r="E2581" t="s">
        <v>23</v>
      </c>
      <c r="F2581" t="s">
        <v>44</v>
      </c>
      <c r="G2581">
        <v>2010</v>
      </c>
      <c r="H2581" t="s">
        <v>2535</v>
      </c>
      <c r="K2581" t="s">
        <v>25</v>
      </c>
      <c r="L2581" t="s">
        <v>30</v>
      </c>
      <c r="M2581" t="b">
        <v>1</v>
      </c>
      <c r="N2581" t="s">
        <v>741</v>
      </c>
      <c r="P2581" t="s">
        <v>5726</v>
      </c>
      <c r="Q2581" t="b">
        <v>1</v>
      </c>
      <c r="S2581" t="str">
        <f>"9780310258070"</f>
        <v>9780310258070</v>
      </c>
      <c r="T2581" t="str">
        <f>"9780310565345"</f>
        <v>9780310565345</v>
      </c>
      <c r="U2581" t="b">
        <v>0</v>
      </c>
      <c r="W2581" t="b">
        <v>0</v>
      </c>
    </row>
    <row r="2582" spans="1:23" x14ac:dyDescent="0.3">
      <c r="A2582">
        <v>2980098</v>
      </c>
      <c r="B2582">
        <v>44.82</v>
      </c>
      <c r="C2582" t="s">
        <v>5727</v>
      </c>
      <c r="E2582" t="s">
        <v>23</v>
      </c>
      <c r="F2582" t="s">
        <v>44</v>
      </c>
      <c r="G2582">
        <v>2009</v>
      </c>
      <c r="H2582" t="s">
        <v>728</v>
      </c>
      <c r="K2582" t="s">
        <v>25</v>
      </c>
      <c r="L2582" t="s">
        <v>30</v>
      </c>
      <c r="M2582" t="b">
        <v>1</v>
      </c>
      <c r="N2582" t="s">
        <v>3066</v>
      </c>
      <c r="P2582" t="s">
        <v>3412</v>
      </c>
      <c r="Q2582" t="b">
        <v>1</v>
      </c>
      <c r="S2582" t="str">
        <f>"9780310671312"</f>
        <v>9780310671312</v>
      </c>
      <c r="T2582" t="str">
        <f>"9780310832300"</f>
        <v>9780310832300</v>
      </c>
      <c r="U2582" t="b">
        <v>0</v>
      </c>
      <c r="W2582" t="b">
        <v>0</v>
      </c>
    </row>
    <row r="2583" spans="1:23" x14ac:dyDescent="0.3">
      <c r="A2583">
        <v>2980097</v>
      </c>
      <c r="B2583">
        <v>55.17</v>
      </c>
      <c r="C2583" t="s">
        <v>5728</v>
      </c>
      <c r="D2583" t="s">
        <v>5729</v>
      </c>
      <c r="E2583" t="s">
        <v>23</v>
      </c>
      <c r="F2583" t="s">
        <v>44</v>
      </c>
      <c r="G2583">
        <v>2011</v>
      </c>
      <c r="H2583" t="s">
        <v>68</v>
      </c>
      <c r="I2583" t="s">
        <v>5730</v>
      </c>
      <c r="J2583" t="s">
        <v>5731</v>
      </c>
      <c r="K2583" t="s">
        <v>25</v>
      </c>
      <c r="L2583" t="s">
        <v>30</v>
      </c>
      <c r="M2583" t="b">
        <v>1</v>
      </c>
      <c r="N2583" t="s">
        <v>3409</v>
      </c>
      <c r="O2583" t="str">
        <f>"248.8/5"</f>
        <v>248.8/5</v>
      </c>
      <c r="Q2583" t="b">
        <v>0</v>
      </c>
      <c r="S2583" t="str">
        <f>"9780310330707"</f>
        <v>9780310330707</v>
      </c>
      <c r="T2583" t="str">
        <f>"9780310585930"</f>
        <v>9780310585930</v>
      </c>
      <c r="U2583" t="b">
        <v>0</v>
      </c>
      <c r="V2583" t="s">
        <v>5732</v>
      </c>
      <c r="W2583" t="b">
        <v>0</v>
      </c>
    </row>
    <row r="2584" spans="1:23" x14ac:dyDescent="0.3">
      <c r="A2584">
        <v>2980096</v>
      </c>
      <c r="B2584">
        <v>53.27</v>
      </c>
      <c r="C2584" t="s">
        <v>5733</v>
      </c>
      <c r="D2584" t="s">
        <v>2511</v>
      </c>
      <c r="E2584" t="s">
        <v>23</v>
      </c>
      <c r="F2584" t="s">
        <v>44</v>
      </c>
      <c r="G2584">
        <v>2010</v>
      </c>
      <c r="H2584" t="s">
        <v>132</v>
      </c>
      <c r="K2584" t="s">
        <v>25</v>
      </c>
      <c r="L2584" t="s">
        <v>30</v>
      </c>
      <c r="M2584" t="b">
        <v>1</v>
      </c>
      <c r="N2584" t="s">
        <v>5734</v>
      </c>
      <c r="P2584" t="s">
        <v>4462</v>
      </c>
      <c r="Q2584" t="b">
        <v>0</v>
      </c>
      <c r="T2584" t="str">
        <f>"9780310871378"</f>
        <v>9780310871378</v>
      </c>
      <c r="U2584" t="b">
        <v>0</v>
      </c>
      <c r="W2584" t="b">
        <v>0</v>
      </c>
    </row>
    <row r="2585" spans="1:23" x14ac:dyDescent="0.3">
      <c r="A2585">
        <v>2980095</v>
      </c>
      <c r="B2585">
        <v>55.17</v>
      </c>
      <c r="C2585" t="s">
        <v>5735</v>
      </c>
      <c r="E2585" t="s">
        <v>23</v>
      </c>
      <c r="F2585" t="s">
        <v>44</v>
      </c>
      <c r="G2585">
        <v>2009</v>
      </c>
      <c r="H2585" t="s">
        <v>66</v>
      </c>
      <c r="K2585" t="s">
        <v>25</v>
      </c>
      <c r="L2585" t="s">
        <v>30</v>
      </c>
      <c r="M2585" t="b">
        <v>1</v>
      </c>
      <c r="N2585" t="s">
        <v>77</v>
      </c>
      <c r="P2585" t="s">
        <v>3054</v>
      </c>
      <c r="Q2585" t="b">
        <v>1</v>
      </c>
      <c r="S2585" t="str">
        <f>"9780310342809"</f>
        <v>9780310342809</v>
      </c>
      <c r="T2585" t="str">
        <f>"9780310864134"</f>
        <v>9780310864134</v>
      </c>
      <c r="U2585" t="b">
        <v>0</v>
      </c>
      <c r="W2585" t="b">
        <v>0</v>
      </c>
    </row>
    <row r="2586" spans="1:23" x14ac:dyDescent="0.3">
      <c r="A2586">
        <v>2980094</v>
      </c>
      <c r="B2586">
        <v>93.12</v>
      </c>
      <c r="C2586" t="s">
        <v>5736</v>
      </c>
      <c r="D2586" t="s">
        <v>5737</v>
      </c>
      <c r="E2586" t="s">
        <v>23</v>
      </c>
      <c r="F2586" t="s">
        <v>44</v>
      </c>
      <c r="G2586">
        <v>2014</v>
      </c>
      <c r="H2586" t="s">
        <v>5177</v>
      </c>
      <c r="K2586" t="s">
        <v>25</v>
      </c>
      <c r="L2586" t="s">
        <v>30</v>
      </c>
      <c r="M2586" t="b">
        <v>1</v>
      </c>
      <c r="N2586" t="s">
        <v>5223</v>
      </c>
      <c r="Q2586" t="b">
        <v>0</v>
      </c>
      <c r="S2586" t="str">
        <f>"9780310360957"</f>
        <v>9780310360957</v>
      </c>
      <c r="T2586" t="str">
        <f>"9780310337911"</f>
        <v>9780310337911</v>
      </c>
      <c r="U2586" t="b">
        <v>0</v>
      </c>
      <c r="W2586" t="b">
        <v>0</v>
      </c>
    </row>
    <row r="2587" spans="1:23" x14ac:dyDescent="0.3">
      <c r="A2587">
        <v>2980093</v>
      </c>
      <c r="B2587">
        <v>55.17</v>
      </c>
      <c r="C2587" t="s">
        <v>5738</v>
      </c>
      <c r="E2587" t="s">
        <v>23</v>
      </c>
      <c r="F2587" t="s">
        <v>44</v>
      </c>
      <c r="G2587">
        <v>2015</v>
      </c>
      <c r="H2587" t="s">
        <v>852</v>
      </c>
      <c r="K2587" t="s">
        <v>25</v>
      </c>
      <c r="L2587" t="s">
        <v>30</v>
      </c>
      <c r="M2587" t="b">
        <v>1</v>
      </c>
      <c r="N2587" t="s">
        <v>4502</v>
      </c>
      <c r="P2587" t="s">
        <v>4503</v>
      </c>
      <c r="Q2587" t="b">
        <v>1</v>
      </c>
      <c r="S2587" t="str">
        <f>"9780310338505"</f>
        <v>9780310338505</v>
      </c>
      <c r="T2587" t="str">
        <f>"9780310338543"</f>
        <v>9780310338543</v>
      </c>
      <c r="U2587" t="b">
        <v>0</v>
      </c>
      <c r="W2587" t="b">
        <v>0</v>
      </c>
    </row>
    <row r="2588" spans="1:23" x14ac:dyDescent="0.3">
      <c r="A2588">
        <v>2980092</v>
      </c>
      <c r="B2588">
        <v>44.82</v>
      </c>
      <c r="C2588" t="s">
        <v>5739</v>
      </c>
      <c r="E2588" t="s">
        <v>23</v>
      </c>
      <c r="F2588" t="s">
        <v>44</v>
      </c>
      <c r="G2588">
        <v>2012</v>
      </c>
      <c r="H2588" t="s">
        <v>5740</v>
      </c>
      <c r="K2588" t="s">
        <v>25</v>
      </c>
      <c r="L2588" t="s">
        <v>30</v>
      </c>
      <c r="M2588" t="b">
        <v>1</v>
      </c>
      <c r="N2588" t="s">
        <v>776</v>
      </c>
      <c r="Q2588" t="b">
        <v>0</v>
      </c>
      <c r="S2588" t="str">
        <f>"9780310719847"</f>
        <v>9780310719847</v>
      </c>
      <c r="T2588" t="str">
        <f>"9780310577928"</f>
        <v>9780310577928</v>
      </c>
      <c r="U2588" t="b">
        <v>0</v>
      </c>
      <c r="W2588" t="b">
        <v>0</v>
      </c>
    </row>
    <row r="2589" spans="1:23" x14ac:dyDescent="0.3">
      <c r="A2589">
        <v>2980091</v>
      </c>
      <c r="B2589">
        <v>14.18</v>
      </c>
      <c r="C2589" t="s">
        <v>5741</v>
      </c>
      <c r="E2589" t="s">
        <v>23</v>
      </c>
      <c r="F2589" t="s">
        <v>44</v>
      </c>
      <c r="G2589">
        <v>2014</v>
      </c>
      <c r="H2589" t="s">
        <v>1212</v>
      </c>
      <c r="K2589" t="s">
        <v>25</v>
      </c>
      <c r="L2589" t="s">
        <v>30</v>
      </c>
      <c r="M2589" t="b">
        <v>1</v>
      </c>
      <c r="N2589" t="s">
        <v>4128</v>
      </c>
      <c r="P2589" t="s">
        <v>2785</v>
      </c>
      <c r="Q2589" t="b">
        <v>1</v>
      </c>
      <c r="T2589" t="str">
        <f>"9780310338680"</f>
        <v>9780310338680</v>
      </c>
      <c r="U2589" t="b">
        <v>0</v>
      </c>
      <c r="W2589" t="b">
        <v>0</v>
      </c>
    </row>
    <row r="2590" spans="1:23" x14ac:dyDescent="0.3">
      <c r="A2590">
        <v>2980090</v>
      </c>
      <c r="B2590">
        <v>63.93</v>
      </c>
      <c r="C2590" t="s">
        <v>5742</v>
      </c>
      <c r="D2590" t="s">
        <v>4821</v>
      </c>
      <c r="E2590" t="s">
        <v>23</v>
      </c>
      <c r="F2590" t="s">
        <v>44</v>
      </c>
      <c r="G2590">
        <v>2011</v>
      </c>
      <c r="H2590" t="s">
        <v>58</v>
      </c>
      <c r="K2590" t="s">
        <v>25</v>
      </c>
      <c r="L2590" t="s">
        <v>30</v>
      </c>
      <c r="M2590" t="b">
        <v>1</v>
      </c>
      <c r="N2590" t="s">
        <v>2641</v>
      </c>
      <c r="Q2590" t="b">
        <v>0</v>
      </c>
      <c r="T2590" t="str">
        <f>"9780310586753"</f>
        <v>9780310586753</v>
      </c>
      <c r="U2590" t="b">
        <v>0</v>
      </c>
      <c r="W2590" t="b">
        <v>0</v>
      </c>
    </row>
    <row r="2591" spans="1:23" x14ac:dyDescent="0.3">
      <c r="A2591">
        <v>2980089</v>
      </c>
      <c r="B2591">
        <v>172.47</v>
      </c>
      <c r="C2591" t="s">
        <v>5743</v>
      </c>
      <c r="E2591" t="s">
        <v>23</v>
      </c>
      <c r="F2591" t="s">
        <v>44</v>
      </c>
      <c r="G2591">
        <v>2019</v>
      </c>
      <c r="H2591" t="s">
        <v>5744</v>
      </c>
      <c r="K2591" t="s">
        <v>25</v>
      </c>
      <c r="L2591" t="s">
        <v>26</v>
      </c>
      <c r="M2591" t="b">
        <v>1</v>
      </c>
      <c r="N2591" t="s">
        <v>44</v>
      </c>
      <c r="Q2591" t="b">
        <v>0</v>
      </c>
      <c r="S2591" t="str">
        <f>"9780310452201"</f>
        <v>9780310452201</v>
      </c>
      <c r="T2591" t="str">
        <f>"9780310452225"</f>
        <v>9780310452225</v>
      </c>
      <c r="U2591" t="b">
        <v>0</v>
      </c>
      <c r="W2591" t="b">
        <v>0</v>
      </c>
    </row>
    <row r="2592" spans="1:23" x14ac:dyDescent="0.3">
      <c r="A2592">
        <v>2980088</v>
      </c>
      <c r="B2592">
        <v>51.72</v>
      </c>
      <c r="C2592" t="s">
        <v>5745</v>
      </c>
      <c r="E2592" t="s">
        <v>23</v>
      </c>
      <c r="F2592" t="s">
        <v>44</v>
      </c>
      <c r="G2592">
        <v>2015</v>
      </c>
      <c r="H2592" t="s">
        <v>62</v>
      </c>
      <c r="K2592" t="s">
        <v>25</v>
      </c>
      <c r="L2592" t="s">
        <v>26</v>
      </c>
      <c r="M2592" t="b">
        <v>1</v>
      </c>
      <c r="N2592" t="s">
        <v>317</v>
      </c>
      <c r="Q2592" t="b">
        <v>0</v>
      </c>
      <c r="S2592" t="str">
        <f>"9780310736028"</f>
        <v>9780310736028</v>
      </c>
      <c r="T2592" t="str">
        <f>"9780310736042"</f>
        <v>9780310736042</v>
      </c>
      <c r="U2592" t="b">
        <v>0</v>
      </c>
      <c r="W2592" t="b">
        <v>0</v>
      </c>
    </row>
    <row r="2593" spans="1:23" x14ac:dyDescent="0.3">
      <c r="A2593">
        <v>2980087</v>
      </c>
      <c r="B2593">
        <v>55.17</v>
      </c>
      <c r="C2593" t="s">
        <v>5746</v>
      </c>
      <c r="D2593" t="s">
        <v>1405</v>
      </c>
      <c r="E2593" t="s">
        <v>23</v>
      </c>
      <c r="F2593" t="s">
        <v>44</v>
      </c>
      <c r="G2593">
        <v>2012</v>
      </c>
      <c r="H2593" t="s">
        <v>74</v>
      </c>
      <c r="K2593" t="s">
        <v>25</v>
      </c>
      <c r="L2593" t="s">
        <v>30</v>
      </c>
      <c r="M2593" t="b">
        <v>1</v>
      </c>
      <c r="N2593" t="s">
        <v>4148</v>
      </c>
      <c r="Q2593" t="b">
        <v>1</v>
      </c>
      <c r="S2593" t="str">
        <f>"9780310336105"</f>
        <v>9780310336105</v>
      </c>
      <c r="T2593" t="str">
        <f>"9780310336129"</f>
        <v>9780310336129</v>
      </c>
      <c r="U2593" t="b">
        <v>0</v>
      </c>
      <c r="W2593" t="b">
        <v>0</v>
      </c>
    </row>
    <row r="2594" spans="1:23" x14ac:dyDescent="0.3">
      <c r="A2594">
        <v>2980085</v>
      </c>
      <c r="B2594">
        <v>28.39</v>
      </c>
      <c r="C2594" t="s">
        <v>5747</v>
      </c>
      <c r="E2594" t="s">
        <v>23</v>
      </c>
      <c r="F2594" t="s">
        <v>44</v>
      </c>
      <c r="G2594">
        <v>2009</v>
      </c>
      <c r="H2594" t="s">
        <v>714</v>
      </c>
      <c r="K2594" t="s">
        <v>25</v>
      </c>
      <c r="L2594" t="s">
        <v>30</v>
      </c>
      <c r="M2594" t="b">
        <v>1</v>
      </c>
      <c r="N2594" t="s">
        <v>408</v>
      </c>
      <c r="P2594" t="s">
        <v>3599</v>
      </c>
      <c r="Q2594" t="b">
        <v>1</v>
      </c>
      <c r="T2594" t="str">
        <f>"9780310856580"</f>
        <v>9780310856580</v>
      </c>
      <c r="U2594" t="b">
        <v>0</v>
      </c>
      <c r="W2594" t="b">
        <v>0</v>
      </c>
    </row>
    <row r="2595" spans="1:23" x14ac:dyDescent="0.3">
      <c r="A2595">
        <v>2980084</v>
      </c>
      <c r="B2595">
        <v>67.48</v>
      </c>
      <c r="C2595" t="s">
        <v>5748</v>
      </c>
      <c r="D2595" t="s">
        <v>5749</v>
      </c>
      <c r="E2595" t="s">
        <v>23</v>
      </c>
      <c r="F2595" t="s">
        <v>44</v>
      </c>
      <c r="G2595">
        <v>2010</v>
      </c>
      <c r="H2595" t="s">
        <v>132</v>
      </c>
      <c r="K2595" t="s">
        <v>25</v>
      </c>
      <c r="L2595" t="s">
        <v>30</v>
      </c>
      <c r="M2595" t="b">
        <v>1</v>
      </c>
      <c r="N2595" t="s">
        <v>2778</v>
      </c>
      <c r="Q2595" t="b">
        <v>0</v>
      </c>
      <c r="S2595" t="str">
        <f>"9780310379508"</f>
        <v>9780310379508</v>
      </c>
      <c r="T2595" t="str">
        <f>"9780310871989"</f>
        <v>9780310871989</v>
      </c>
      <c r="U2595" t="b">
        <v>0</v>
      </c>
      <c r="W2595" t="b">
        <v>0</v>
      </c>
    </row>
    <row r="2596" spans="1:23" x14ac:dyDescent="0.3">
      <c r="A2596">
        <v>2980083</v>
      </c>
      <c r="B2596">
        <v>51.72</v>
      </c>
      <c r="C2596" t="s">
        <v>5750</v>
      </c>
      <c r="D2596" t="s">
        <v>5751</v>
      </c>
      <c r="E2596" t="s">
        <v>23</v>
      </c>
      <c r="F2596" t="s">
        <v>44</v>
      </c>
      <c r="G2596">
        <v>2009</v>
      </c>
      <c r="H2596" t="s">
        <v>99</v>
      </c>
      <c r="K2596" t="s">
        <v>25</v>
      </c>
      <c r="L2596" t="s">
        <v>30</v>
      </c>
      <c r="M2596" t="b">
        <v>1</v>
      </c>
      <c r="N2596" t="s">
        <v>5752</v>
      </c>
      <c r="Q2596" t="b">
        <v>0</v>
      </c>
      <c r="S2596" t="str">
        <f>"9780310252603"</f>
        <v>9780310252603</v>
      </c>
      <c r="T2596" t="str">
        <f>"9780310864615"</f>
        <v>9780310864615</v>
      </c>
      <c r="U2596" t="b">
        <v>0</v>
      </c>
      <c r="W2596" t="b">
        <v>0</v>
      </c>
    </row>
    <row r="2597" spans="1:23" x14ac:dyDescent="0.3">
      <c r="A2597">
        <v>2980082</v>
      </c>
      <c r="B2597">
        <v>51.72</v>
      </c>
      <c r="C2597" t="s">
        <v>5753</v>
      </c>
      <c r="D2597" t="s">
        <v>1405</v>
      </c>
      <c r="E2597" t="s">
        <v>23</v>
      </c>
      <c r="F2597" t="s">
        <v>44</v>
      </c>
      <c r="G2597">
        <v>2011</v>
      </c>
      <c r="H2597" t="s">
        <v>728</v>
      </c>
      <c r="K2597" t="s">
        <v>25</v>
      </c>
      <c r="L2597" t="s">
        <v>30</v>
      </c>
      <c r="M2597" t="b">
        <v>1</v>
      </c>
      <c r="N2597" t="s">
        <v>4039</v>
      </c>
      <c r="Q2597" t="b">
        <v>1</v>
      </c>
      <c r="S2597" t="str">
        <f>"9780310293309"</f>
        <v>9780310293309</v>
      </c>
      <c r="T2597" t="str">
        <f>"9780310412397"</f>
        <v>9780310412397</v>
      </c>
      <c r="U2597" t="b">
        <v>0</v>
      </c>
      <c r="W2597" t="b">
        <v>0</v>
      </c>
    </row>
    <row r="2598" spans="1:23" x14ac:dyDescent="0.3">
      <c r="A2598">
        <v>2979706</v>
      </c>
      <c r="B2598">
        <v>44.82</v>
      </c>
      <c r="C2598" t="s">
        <v>5783</v>
      </c>
      <c r="D2598" t="s">
        <v>5784</v>
      </c>
      <c r="E2598" t="s">
        <v>23</v>
      </c>
      <c r="F2598" t="s">
        <v>44</v>
      </c>
      <c r="G2598">
        <v>2010</v>
      </c>
      <c r="H2598" t="s">
        <v>99</v>
      </c>
      <c r="K2598" t="s">
        <v>25</v>
      </c>
      <c r="L2598" t="s">
        <v>30</v>
      </c>
      <c r="M2598" t="b">
        <v>1</v>
      </c>
      <c r="N2598" t="s">
        <v>5785</v>
      </c>
      <c r="Q2598" t="b">
        <v>0</v>
      </c>
      <c r="S2598" t="str">
        <f>"9780310343912"</f>
        <v>9780310343912</v>
      </c>
      <c r="T2598" t="str">
        <f>"9780310877141"</f>
        <v>9780310877141</v>
      </c>
      <c r="U2598" t="b">
        <v>0</v>
      </c>
      <c r="W2598" t="b">
        <v>0</v>
      </c>
    </row>
    <row r="2599" spans="1:23" x14ac:dyDescent="0.3">
      <c r="A2599">
        <v>2979705</v>
      </c>
      <c r="B2599">
        <v>27.57</v>
      </c>
      <c r="C2599" t="s">
        <v>5786</v>
      </c>
      <c r="D2599" t="s">
        <v>1405</v>
      </c>
      <c r="E2599" t="s">
        <v>23</v>
      </c>
      <c r="F2599" t="s">
        <v>44</v>
      </c>
      <c r="G2599">
        <v>2010</v>
      </c>
      <c r="H2599" t="s">
        <v>728</v>
      </c>
      <c r="K2599" t="s">
        <v>25</v>
      </c>
      <c r="L2599" t="s">
        <v>30</v>
      </c>
      <c r="M2599" t="b">
        <v>1</v>
      </c>
      <c r="N2599" t="s">
        <v>776</v>
      </c>
      <c r="P2599" t="s">
        <v>3326</v>
      </c>
      <c r="Q2599" t="b">
        <v>1</v>
      </c>
      <c r="S2599" t="str">
        <f>"9780310344216"</f>
        <v>9780310344216</v>
      </c>
      <c r="T2599" t="str">
        <f>"9780310413059"</f>
        <v>9780310413059</v>
      </c>
      <c r="U2599" t="b">
        <v>0</v>
      </c>
      <c r="W2599" t="b">
        <v>0</v>
      </c>
    </row>
    <row r="2600" spans="1:23" x14ac:dyDescent="0.3">
      <c r="A2600">
        <v>2979704</v>
      </c>
      <c r="B2600">
        <v>62.07</v>
      </c>
      <c r="C2600" t="s">
        <v>5787</v>
      </c>
      <c r="D2600" t="s">
        <v>5788</v>
      </c>
      <c r="E2600" t="s">
        <v>23</v>
      </c>
      <c r="F2600" t="s">
        <v>44</v>
      </c>
      <c r="G2600">
        <v>2019</v>
      </c>
      <c r="H2600" t="s">
        <v>132</v>
      </c>
      <c r="K2600" t="s">
        <v>25</v>
      </c>
      <c r="L2600" t="s">
        <v>26</v>
      </c>
      <c r="M2600" t="b">
        <v>1</v>
      </c>
      <c r="N2600" t="s">
        <v>5789</v>
      </c>
      <c r="Q2600" t="b">
        <v>0</v>
      </c>
      <c r="S2600" t="str">
        <f>"9780310452065"</f>
        <v>9780310452065</v>
      </c>
      <c r="T2600" t="str">
        <f>"9780310454977"</f>
        <v>9780310454977</v>
      </c>
      <c r="U2600" t="b">
        <v>0</v>
      </c>
      <c r="W2600" t="b">
        <v>0</v>
      </c>
    </row>
    <row r="2601" spans="1:23" x14ac:dyDescent="0.3">
      <c r="A2601">
        <v>2979703</v>
      </c>
      <c r="B2601">
        <v>68.97</v>
      </c>
      <c r="C2601" t="s">
        <v>5790</v>
      </c>
      <c r="D2601" t="s">
        <v>5791</v>
      </c>
      <c r="E2601" t="s">
        <v>23</v>
      </c>
      <c r="F2601" t="s">
        <v>44</v>
      </c>
      <c r="G2601">
        <v>2013</v>
      </c>
      <c r="H2601" t="s">
        <v>737</v>
      </c>
      <c r="K2601" t="s">
        <v>25</v>
      </c>
      <c r="L2601" t="s">
        <v>30</v>
      </c>
      <c r="M2601" t="b">
        <v>1</v>
      </c>
      <c r="N2601" t="s">
        <v>752</v>
      </c>
      <c r="Q2601" t="b">
        <v>0</v>
      </c>
      <c r="S2601" t="str">
        <f>"9780310333746"</f>
        <v>9780310333746</v>
      </c>
      <c r="T2601" t="str">
        <f>"9780310333753"</f>
        <v>9780310333753</v>
      </c>
      <c r="U2601" t="b">
        <v>0</v>
      </c>
      <c r="W2601" t="b">
        <v>0</v>
      </c>
    </row>
    <row r="2602" spans="1:23" x14ac:dyDescent="0.3">
      <c r="A2602">
        <v>2979702</v>
      </c>
      <c r="B2602">
        <v>35.5</v>
      </c>
      <c r="C2602" t="s">
        <v>5792</v>
      </c>
      <c r="D2602" t="s">
        <v>2978</v>
      </c>
      <c r="E2602" t="s">
        <v>23</v>
      </c>
      <c r="F2602" t="s">
        <v>44</v>
      </c>
      <c r="G2602">
        <v>2010</v>
      </c>
      <c r="H2602" t="s">
        <v>132</v>
      </c>
      <c r="K2602" t="s">
        <v>25</v>
      </c>
      <c r="L2602" t="s">
        <v>30</v>
      </c>
      <c r="M2602" t="b">
        <v>1</v>
      </c>
      <c r="N2602" t="s">
        <v>2979</v>
      </c>
      <c r="P2602" t="s">
        <v>2980</v>
      </c>
      <c r="Q2602" t="b">
        <v>0</v>
      </c>
      <c r="T2602" t="str">
        <f>"9780310395706"</f>
        <v>9780310395706</v>
      </c>
      <c r="U2602" t="b">
        <v>0</v>
      </c>
      <c r="W2602" t="b">
        <v>0</v>
      </c>
    </row>
    <row r="2603" spans="1:23" x14ac:dyDescent="0.3">
      <c r="A2603">
        <v>2979701</v>
      </c>
      <c r="B2603">
        <v>55.17</v>
      </c>
      <c r="C2603" t="s">
        <v>5793</v>
      </c>
      <c r="D2603" t="s">
        <v>1405</v>
      </c>
      <c r="E2603" t="s">
        <v>23</v>
      </c>
      <c r="F2603" t="s">
        <v>44</v>
      </c>
      <c r="G2603">
        <v>2012</v>
      </c>
      <c r="H2603" t="s">
        <v>728</v>
      </c>
      <c r="K2603" t="s">
        <v>25</v>
      </c>
      <c r="L2603" t="s">
        <v>30</v>
      </c>
      <c r="M2603" t="b">
        <v>1</v>
      </c>
      <c r="N2603" t="s">
        <v>2836</v>
      </c>
      <c r="P2603" t="s">
        <v>2837</v>
      </c>
      <c r="Q2603" t="b">
        <v>1</v>
      </c>
      <c r="S2603" t="str">
        <f>"9780310334743"</f>
        <v>9780310334743</v>
      </c>
      <c r="T2603" t="str">
        <f>"9780310334750"</f>
        <v>9780310334750</v>
      </c>
      <c r="U2603" t="b">
        <v>0</v>
      </c>
      <c r="W2603" t="b">
        <v>0</v>
      </c>
    </row>
    <row r="2604" spans="1:23" x14ac:dyDescent="0.3">
      <c r="A2604">
        <v>2979700</v>
      </c>
      <c r="B2604">
        <v>55.17</v>
      </c>
      <c r="C2604" t="s">
        <v>5794</v>
      </c>
      <c r="D2604" t="s">
        <v>5795</v>
      </c>
      <c r="E2604" t="s">
        <v>23</v>
      </c>
      <c r="F2604" t="s">
        <v>44</v>
      </c>
      <c r="G2604">
        <v>2014</v>
      </c>
      <c r="H2604" t="s">
        <v>56</v>
      </c>
      <c r="K2604" t="s">
        <v>25</v>
      </c>
      <c r="L2604" t="s">
        <v>30</v>
      </c>
      <c r="M2604" t="b">
        <v>1</v>
      </c>
      <c r="N2604" t="s">
        <v>5796</v>
      </c>
      <c r="Q2604" t="b">
        <v>0</v>
      </c>
      <c r="S2604" t="str">
        <f>"9780310337164"</f>
        <v>9780310337164</v>
      </c>
      <c r="T2604" t="str">
        <f>"9780310337171"</f>
        <v>9780310337171</v>
      </c>
      <c r="U2604" t="b">
        <v>0</v>
      </c>
      <c r="W2604" t="b">
        <v>0</v>
      </c>
    </row>
    <row r="2605" spans="1:23" x14ac:dyDescent="0.3">
      <c r="A2605">
        <v>2979699</v>
      </c>
      <c r="B2605">
        <v>55.17</v>
      </c>
      <c r="C2605" t="s">
        <v>5797</v>
      </c>
      <c r="D2605" t="s">
        <v>5798</v>
      </c>
      <c r="E2605" t="s">
        <v>23</v>
      </c>
      <c r="F2605" t="s">
        <v>44</v>
      </c>
      <c r="G2605">
        <v>2015</v>
      </c>
      <c r="H2605" t="s">
        <v>68</v>
      </c>
      <c r="K2605" t="s">
        <v>25</v>
      </c>
      <c r="L2605" t="s">
        <v>30</v>
      </c>
      <c r="M2605" t="b">
        <v>1</v>
      </c>
      <c r="N2605" t="s">
        <v>5799</v>
      </c>
      <c r="Q2605" t="b">
        <v>0</v>
      </c>
      <c r="S2605" t="str">
        <f>"9780310339397"</f>
        <v>9780310339397</v>
      </c>
      <c r="T2605" t="str">
        <f>"9780310339403"</f>
        <v>9780310339403</v>
      </c>
      <c r="U2605" t="b">
        <v>0</v>
      </c>
      <c r="W2605" t="b">
        <v>0</v>
      </c>
    </row>
    <row r="2606" spans="1:23" x14ac:dyDescent="0.3">
      <c r="A2606">
        <v>2979698</v>
      </c>
      <c r="B2606">
        <v>55.17</v>
      </c>
      <c r="C2606" t="s">
        <v>5800</v>
      </c>
      <c r="D2606" t="s">
        <v>5801</v>
      </c>
      <c r="E2606" t="s">
        <v>23</v>
      </c>
      <c r="F2606" t="s">
        <v>44</v>
      </c>
      <c r="G2606">
        <v>2015</v>
      </c>
      <c r="H2606" t="s">
        <v>62</v>
      </c>
      <c r="K2606" t="s">
        <v>25</v>
      </c>
      <c r="L2606" t="s">
        <v>30</v>
      </c>
      <c r="M2606" t="b">
        <v>1</v>
      </c>
      <c r="N2606" t="s">
        <v>5173</v>
      </c>
      <c r="Q2606" t="b">
        <v>0</v>
      </c>
      <c r="S2606" t="str">
        <f>"9780310339786"</f>
        <v>9780310339786</v>
      </c>
      <c r="T2606" t="str">
        <f>"9780310339793"</f>
        <v>9780310339793</v>
      </c>
      <c r="U2606" t="b">
        <v>0</v>
      </c>
      <c r="W2606" t="b">
        <v>0</v>
      </c>
    </row>
    <row r="2607" spans="1:23" x14ac:dyDescent="0.3">
      <c r="A2607">
        <v>2979697</v>
      </c>
      <c r="B2607">
        <v>51.72</v>
      </c>
      <c r="C2607" t="s">
        <v>5802</v>
      </c>
      <c r="D2607" t="s">
        <v>5803</v>
      </c>
      <c r="E2607" t="s">
        <v>23</v>
      </c>
      <c r="F2607" t="s">
        <v>44</v>
      </c>
      <c r="G2607">
        <v>2010</v>
      </c>
      <c r="H2607" t="s">
        <v>132</v>
      </c>
      <c r="K2607" t="s">
        <v>25</v>
      </c>
      <c r="L2607" t="s">
        <v>30</v>
      </c>
      <c r="M2607" t="b">
        <v>1</v>
      </c>
      <c r="N2607" t="s">
        <v>4151</v>
      </c>
      <c r="Q2607" t="b">
        <v>0</v>
      </c>
      <c r="S2607" t="str">
        <f>"9780310244066"</f>
        <v>9780310244066</v>
      </c>
      <c r="T2607" t="str">
        <f>"9780310871972"</f>
        <v>9780310871972</v>
      </c>
      <c r="U2607" t="b">
        <v>0</v>
      </c>
      <c r="W2607" t="b">
        <v>0</v>
      </c>
    </row>
    <row r="2608" spans="1:23" x14ac:dyDescent="0.3">
      <c r="A2608">
        <v>2979696</v>
      </c>
      <c r="B2608">
        <v>35.5</v>
      </c>
      <c r="C2608" t="s">
        <v>5804</v>
      </c>
      <c r="D2608" t="s">
        <v>5805</v>
      </c>
      <c r="E2608" t="s">
        <v>23</v>
      </c>
      <c r="F2608" t="s">
        <v>44</v>
      </c>
      <c r="G2608">
        <v>2010</v>
      </c>
      <c r="H2608" t="s">
        <v>99</v>
      </c>
      <c r="K2608" t="s">
        <v>25</v>
      </c>
      <c r="L2608" t="s">
        <v>30</v>
      </c>
      <c r="M2608" t="b">
        <v>1</v>
      </c>
      <c r="N2608" t="s">
        <v>3103</v>
      </c>
      <c r="Q2608" t="b">
        <v>0</v>
      </c>
      <c r="S2608" t="str">
        <f>"9780310242918"</f>
        <v>9780310242918</v>
      </c>
      <c r="T2608" t="str">
        <f>"9780310877370"</f>
        <v>9780310877370</v>
      </c>
      <c r="U2608" t="b">
        <v>0</v>
      </c>
      <c r="W2608" t="b">
        <v>0</v>
      </c>
    </row>
    <row r="2609" spans="1:23" x14ac:dyDescent="0.3">
      <c r="A2609">
        <v>2979695</v>
      </c>
      <c r="B2609">
        <v>42.61</v>
      </c>
      <c r="C2609" t="s">
        <v>5806</v>
      </c>
      <c r="E2609" t="s">
        <v>23</v>
      </c>
      <c r="F2609" t="s">
        <v>44</v>
      </c>
      <c r="G2609">
        <v>2013</v>
      </c>
      <c r="H2609" t="s">
        <v>717</v>
      </c>
      <c r="K2609" t="s">
        <v>25</v>
      </c>
      <c r="L2609" t="s">
        <v>30</v>
      </c>
      <c r="M2609" t="b">
        <v>1</v>
      </c>
      <c r="N2609" t="s">
        <v>1496</v>
      </c>
      <c r="P2609" t="s">
        <v>1497</v>
      </c>
      <c r="Q2609" t="b">
        <v>1</v>
      </c>
      <c r="S2609" t="str">
        <f>"9780310724919"</f>
        <v>9780310724919</v>
      </c>
      <c r="T2609" t="str">
        <f>"9780310724964"</f>
        <v>9780310724964</v>
      </c>
      <c r="U2609" t="b">
        <v>0</v>
      </c>
      <c r="W2609" t="b">
        <v>0</v>
      </c>
    </row>
    <row r="2610" spans="1:23" x14ac:dyDescent="0.3">
      <c r="A2610">
        <v>2979694</v>
      </c>
      <c r="B2610">
        <v>55.17</v>
      </c>
      <c r="C2610" t="s">
        <v>5807</v>
      </c>
      <c r="E2610" t="s">
        <v>23</v>
      </c>
      <c r="F2610" t="s">
        <v>44</v>
      </c>
      <c r="G2610">
        <v>2014</v>
      </c>
      <c r="H2610" t="s">
        <v>66</v>
      </c>
      <c r="K2610" t="s">
        <v>25</v>
      </c>
      <c r="L2610" t="s">
        <v>30</v>
      </c>
      <c r="M2610" t="b">
        <v>1</v>
      </c>
      <c r="N2610" t="s">
        <v>77</v>
      </c>
      <c r="P2610" t="s">
        <v>4360</v>
      </c>
      <c r="Q2610" t="b">
        <v>1</v>
      </c>
      <c r="S2610" t="str">
        <f>"9780310283140"</f>
        <v>9780310283140</v>
      </c>
      <c r="T2610" t="str">
        <f>"9780310289395"</f>
        <v>9780310289395</v>
      </c>
      <c r="U2610" t="b">
        <v>0</v>
      </c>
      <c r="W2610" t="b">
        <v>0</v>
      </c>
    </row>
    <row r="2611" spans="1:23" x14ac:dyDescent="0.3">
      <c r="A2611">
        <v>2979693</v>
      </c>
      <c r="B2611">
        <v>68.97</v>
      </c>
      <c r="C2611" t="s">
        <v>5808</v>
      </c>
      <c r="D2611" t="s">
        <v>2266</v>
      </c>
      <c r="E2611" t="s">
        <v>23</v>
      </c>
      <c r="F2611" t="s">
        <v>44</v>
      </c>
      <c r="G2611">
        <v>2013</v>
      </c>
      <c r="H2611" t="s">
        <v>5386</v>
      </c>
      <c r="K2611" t="s">
        <v>25</v>
      </c>
      <c r="L2611" t="s">
        <v>26</v>
      </c>
      <c r="M2611" t="b">
        <v>1</v>
      </c>
      <c r="N2611" t="s">
        <v>44</v>
      </c>
      <c r="P2611" t="s">
        <v>1316</v>
      </c>
      <c r="Q2611" t="b">
        <v>0</v>
      </c>
      <c r="S2611" t="str">
        <f>"9780310432760"</f>
        <v>9780310432760</v>
      </c>
      <c r="T2611" t="str">
        <f>"9780310432777"</f>
        <v>9780310432777</v>
      </c>
      <c r="U2611" t="b">
        <v>0</v>
      </c>
      <c r="W2611" t="b">
        <v>0</v>
      </c>
    </row>
    <row r="2612" spans="1:23" x14ac:dyDescent="0.3">
      <c r="A2612">
        <v>2979692</v>
      </c>
      <c r="B2612">
        <v>58.62</v>
      </c>
      <c r="C2612" t="s">
        <v>5809</v>
      </c>
      <c r="D2612" t="s">
        <v>5771</v>
      </c>
      <c r="E2612" t="s">
        <v>23</v>
      </c>
      <c r="F2612" t="s">
        <v>44</v>
      </c>
      <c r="G2612">
        <v>2016</v>
      </c>
      <c r="H2612" t="s">
        <v>58</v>
      </c>
      <c r="K2612" t="s">
        <v>25</v>
      </c>
      <c r="L2612" t="s">
        <v>26</v>
      </c>
      <c r="M2612" t="b">
        <v>1</v>
      </c>
      <c r="N2612" t="s">
        <v>3602</v>
      </c>
      <c r="Q2612" t="b">
        <v>0</v>
      </c>
      <c r="S2612" t="str">
        <f>"9780310345244"</f>
        <v>9780310345244</v>
      </c>
      <c r="T2612" t="str">
        <f>"9780310345251"</f>
        <v>9780310345251</v>
      </c>
      <c r="U2612" t="b">
        <v>0</v>
      </c>
      <c r="W2612" t="b">
        <v>0</v>
      </c>
    </row>
    <row r="2613" spans="1:23" x14ac:dyDescent="0.3">
      <c r="A2613">
        <v>2979691</v>
      </c>
      <c r="B2613">
        <v>62.07</v>
      </c>
      <c r="C2613" t="s">
        <v>5810</v>
      </c>
      <c r="D2613" t="s">
        <v>5811</v>
      </c>
      <c r="E2613" t="s">
        <v>23</v>
      </c>
      <c r="F2613" t="s">
        <v>44</v>
      </c>
      <c r="G2613">
        <v>2019</v>
      </c>
      <c r="H2613" t="s">
        <v>58</v>
      </c>
      <c r="K2613" t="s">
        <v>25</v>
      </c>
      <c r="L2613" t="s">
        <v>26</v>
      </c>
      <c r="M2613" t="b">
        <v>1</v>
      </c>
      <c r="N2613" t="s">
        <v>5173</v>
      </c>
      <c r="Q2613" t="b">
        <v>0</v>
      </c>
      <c r="S2613" t="str">
        <f>"9780310352990"</f>
        <v>9780310352990</v>
      </c>
      <c r="T2613" t="str">
        <f>"9780310353027"</f>
        <v>9780310353027</v>
      </c>
      <c r="U2613" t="b">
        <v>0</v>
      </c>
      <c r="W2613" t="b">
        <v>0</v>
      </c>
    </row>
    <row r="2614" spans="1:23" x14ac:dyDescent="0.3">
      <c r="A2614">
        <v>2979690</v>
      </c>
      <c r="B2614">
        <v>14.18</v>
      </c>
      <c r="C2614" t="s">
        <v>5812</v>
      </c>
      <c r="D2614" t="s">
        <v>5813</v>
      </c>
      <c r="E2614" t="s">
        <v>23</v>
      </c>
      <c r="F2614" t="s">
        <v>44</v>
      </c>
      <c r="G2614">
        <v>2015</v>
      </c>
      <c r="H2614" t="s">
        <v>1212</v>
      </c>
      <c r="K2614" t="s">
        <v>25</v>
      </c>
      <c r="L2614" t="s">
        <v>26</v>
      </c>
      <c r="M2614" t="b">
        <v>1</v>
      </c>
      <c r="N2614" t="s">
        <v>5814</v>
      </c>
      <c r="P2614" t="s">
        <v>2785</v>
      </c>
      <c r="Q2614" t="b">
        <v>1</v>
      </c>
      <c r="T2614" t="str">
        <f>"9780310395980"</f>
        <v>9780310395980</v>
      </c>
      <c r="U2614" t="b">
        <v>0</v>
      </c>
      <c r="W2614" t="b">
        <v>0</v>
      </c>
    </row>
    <row r="2615" spans="1:23" x14ac:dyDescent="0.3">
      <c r="A2615">
        <v>2979689</v>
      </c>
      <c r="B2615">
        <v>27.57</v>
      </c>
      <c r="C2615" t="s">
        <v>5815</v>
      </c>
      <c r="E2615" t="s">
        <v>23</v>
      </c>
      <c r="F2615" t="s">
        <v>44</v>
      </c>
      <c r="G2615">
        <v>2012</v>
      </c>
      <c r="H2615" t="s">
        <v>728</v>
      </c>
      <c r="K2615" t="s">
        <v>25</v>
      </c>
      <c r="L2615" t="s">
        <v>30</v>
      </c>
      <c r="M2615" t="b">
        <v>1</v>
      </c>
      <c r="N2615" t="s">
        <v>776</v>
      </c>
      <c r="P2615" t="s">
        <v>3326</v>
      </c>
      <c r="Q2615" t="b">
        <v>1</v>
      </c>
      <c r="S2615" t="str">
        <f>"9780310354192"</f>
        <v>9780310354192</v>
      </c>
      <c r="T2615" t="str">
        <f>"9780310413097"</f>
        <v>9780310413097</v>
      </c>
      <c r="U2615" t="b">
        <v>0</v>
      </c>
      <c r="W2615" t="b">
        <v>0</v>
      </c>
    </row>
    <row r="2616" spans="1:23" x14ac:dyDescent="0.3">
      <c r="A2616">
        <v>2979688</v>
      </c>
      <c r="B2616">
        <v>65.52</v>
      </c>
      <c r="C2616" t="s">
        <v>5816</v>
      </c>
      <c r="D2616" t="s">
        <v>5817</v>
      </c>
      <c r="E2616" t="s">
        <v>23</v>
      </c>
      <c r="F2616" t="s">
        <v>44</v>
      </c>
      <c r="G2616">
        <v>2020</v>
      </c>
      <c r="H2616" t="s">
        <v>5818</v>
      </c>
      <c r="K2616" t="s">
        <v>25</v>
      </c>
      <c r="L2616" t="s">
        <v>26</v>
      </c>
      <c r="M2616" t="b">
        <v>1</v>
      </c>
      <c r="N2616" t="s">
        <v>5819</v>
      </c>
      <c r="Q2616" t="b">
        <v>0</v>
      </c>
      <c r="S2616" t="str">
        <f>"9780310360308"</f>
        <v>9780310360308</v>
      </c>
      <c r="T2616" t="str">
        <f>"9780310360315"</f>
        <v>9780310360315</v>
      </c>
      <c r="U2616" t="b">
        <v>0</v>
      </c>
      <c r="W2616" t="b">
        <v>0</v>
      </c>
    </row>
    <row r="2617" spans="1:23" x14ac:dyDescent="0.3">
      <c r="A2617">
        <v>2979687</v>
      </c>
      <c r="B2617">
        <v>28.39</v>
      </c>
      <c r="C2617" t="s">
        <v>5820</v>
      </c>
      <c r="E2617" t="s">
        <v>23</v>
      </c>
      <c r="F2617" t="s">
        <v>44</v>
      </c>
      <c r="G2617">
        <v>2009</v>
      </c>
      <c r="H2617" t="s">
        <v>1223</v>
      </c>
      <c r="K2617" t="s">
        <v>25</v>
      </c>
      <c r="L2617" t="s">
        <v>30</v>
      </c>
      <c r="M2617" t="b">
        <v>1</v>
      </c>
      <c r="N2617" t="s">
        <v>2709</v>
      </c>
      <c r="P2617" t="s">
        <v>3622</v>
      </c>
      <c r="Q2617" t="b">
        <v>0</v>
      </c>
      <c r="T2617" t="str">
        <f>"9780310578413"</f>
        <v>9780310578413</v>
      </c>
      <c r="U2617" t="b">
        <v>0</v>
      </c>
      <c r="W2617" t="b">
        <v>0</v>
      </c>
    </row>
    <row r="2618" spans="1:23" x14ac:dyDescent="0.3">
      <c r="A2618">
        <v>2979686</v>
      </c>
      <c r="B2618">
        <v>89.67</v>
      </c>
      <c r="C2618" t="s">
        <v>5821</v>
      </c>
      <c r="D2618" t="s">
        <v>5822</v>
      </c>
      <c r="E2618" t="s">
        <v>23</v>
      </c>
      <c r="F2618" t="s">
        <v>44</v>
      </c>
      <c r="G2618">
        <v>2020</v>
      </c>
      <c r="H2618" t="s">
        <v>107</v>
      </c>
      <c r="I2618" t="s">
        <v>906</v>
      </c>
      <c r="J2618" t="s">
        <v>5823</v>
      </c>
      <c r="K2618" t="s">
        <v>25</v>
      </c>
      <c r="L2618" t="s">
        <v>26</v>
      </c>
      <c r="M2618" t="b">
        <v>1</v>
      </c>
      <c r="N2618" t="s">
        <v>5824</v>
      </c>
      <c r="O2618" t="str">
        <f>"277.3/083089"</f>
        <v>277.3/083089</v>
      </c>
      <c r="Q2618" t="b">
        <v>0</v>
      </c>
      <c r="S2618" t="str">
        <f>"9780310358510"</f>
        <v>9780310358510</v>
      </c>
      <c r="T2618" t="str">
        <f>"9780310358527"</f>
        <v>9780310358527</v>
      </c>
      <c r="U2618" t="b">
        <v>0</v>
      </c>
      <c r="W2618" t="b">
        <v>0</v>
      </c>
    </row>
    <row r="2619" spans="1:23" x14ac:dyDescent="0.3">
      <c r="A2619">
        <v>2979685</v>
      </c>
      <c r="B2619">
        <v>44.82</v>
      </c>
      <c r="C2619" t="s">
        <v>5825</v>
      </c>
      <c r="D2619" t="s">
        <v>2723</v>
      </c>
      <c r="E2619" t="s">
        <v>23</v>
      </c>
      <c r="F2619" t="s">
        <v>44</v>
      </c>
      <c r="G2619">
        <v>2018</v>
      </c>
      <c r="H2619" t="s">
        <v>772</v>
      </c>
      <c r="K2619" t="s">
        <v>25</v>
      </c>
      <c r="L2619" t="s">
        <v>26</v>
      </c>
      <c r="M2619" t="b">
        <v>1</v>
      </c>
      <c r="N2619" t="s">
        <v>742</v>
      </c>
      <c r="Q2619" t="b">
        <v>1</v>
      </c>
      <c r="S2619" t="str">
        <f>"9780785217343"</f>
        <v>9780785217343</v>
      </c>
      <c r="T2619" t="str">
        <f>"9780785217367"</f>
        <v>9780785217367</v>
      </c>
      <c r="U2619" t="b">
        <v>0</v>
      </c>
      <c r="W2619" t="b">
        <v>0</v>
      </c>
    </row>
    <row r="2620" spans="1:23" x14ac:dyDescent="0.3">
      <c r="A2620">
        <v>2979684</v>
      </c>
      <c r="B2620">
        <v>51.72</v>
      </c>
      <c r="C2620" t="s">
        <v>5826</v>
      </c>
      <c r="E2620" t="s">
        <v>23</v>
      </c>
      <c r="F2620" t="s">
        <v>44</v>
      </c>
      <c r="G2620">
        <v>2012</v>
      </c>
      <c r="H2620" t="s">
        <v>74</v>
      </c>
      <c r="K2620" t="s">
        <v>25</v>
      </c>
      <c r="L2620" t="s">
        <v>30</v>
      </c>
      <c r="M2620" t="b">
        <v>1</v>
      </c>
      <c r="N2620" t="s">
        <v>1703</v>
      </c>
      <c r="P2620" t="s">
        <v>3558</v>
      </c>
      <c r="Q2620" t="b">
        <v>1</v>
      </c>
      <c r="S2620" t="str">
        <f>"9780310333555"</f>
        <v>9780310333555</v>
      </c>
      <c r="T2620" t="str">
        <f>"9780310333562"</f>
        <v>9780310333562</v>
      </c>
      <c r="U2620" t="b">
        <v>0</v>
      </c>
      <c r="W2620" t="b">
        <v>0</v>
      </c>
    </row>
    <row r="2621" spans="1:23" x14ac:dyDescent="0.3">
      <c r="A2621">
        <v>2979683</v>
      </c>
      <c r="B2621">
        <v>55.17</v>
      </c>
      <c r="C2621" t="s">
        <v>5827</v>
      </c>
      <c r="E2621" t="s">
        <v>23</v>
      </c>
      <c r="F2621" t="s">
        <v>44</v>
      </c>
      <c r="G2621">
        <v>2009</v>
      </c>
      <c r="H2621" t="s">
        <v>66</v>
      </c>
      <c r="K2621" t="s">
        <v>25</v>
      </c>
      <c r="L2621" t="s">
        <v>30</v>
      </c>
      <c r="M2621" t="b">
        <v>1</v>
      </c>
      <c r="N2621" t="s">
        <v>77</v>
      </c>
      <c r="P2621" t="s">
        <v>3054</v>
      </c>
      <c r="Q2621" t="b">
        <v>1</v>
      </c>
      <c r="S2621" t="str">
        <f>"9780310342786"</f>
        <v>9780310342786</v>
      </c>
      <c r="T2621" t="str">
        <f>"9780310570844"</f>
        <v>9780310570844</v>
      </c>
      <c r="U2621" t="b">
        <v>0</v>
      </c>
      <c r="W2621" t="b">
        <v>0</v>
      </c>
    </row>
    <row r="2622" spans="1:23" x14ac:dyDescent="0.3">
      <c r="A2622">
        <v>2979682</v>
      </c>
      <c r="B2622">
        <v>27.57</v>
      </c>
      <c r="C2622" t="s">
        <v>5828</v>
      </c>
      <c r="E2622" t="s">
        <v>23</v>
      </c>
      <c r="F2622" t="s">
        <v>44</v>
      </c>
      <c r="G2622">
        <v>2012</v>
      </c>
      <c r="H2622" t="s">
        <v>772</v>
      </c>
      <c r="K2622" t="s">
        <v>25</v>
      </c>
      <c r="L2622" t="s">
        <v>30</v>
      </c>
      <c r="M2622" t="b">
        <v>1</v>
      </c>
      <c r="N2622" t="s">
        <v>962</v>
      </c>
      <c r="P2622" t="s">
        <v>4269</v>
      </c>
      <c r="Q2622" t="b">
        <v>1</v>
      </c>
      <c r="S2622" t="str">
        <f>"9780785217152"</f>
        <v>9780785217152</v>
      </c>
      <c r="T2622" t="str">
        <f>"9780310415909"</f>
        <v>9780310415909</v>
      </c>
      <c r="U2622" t="b">
        <v>0</v>
      </c>
      <c r="W2622" t="b">
        <v>0</v>
      </c>
    </row>
    <row r="2623" spans="1:23" x14ac:dyDescent="0.3">
      <c r="A2623">
        <v>2979681</v>
      </c>
      <c r="B2623">
        <v>17.22</v>
      </c>
      <c r="C2623" t="s">
        <v>5829</v>
      </c>
      <c r="D2623" t="s">
        <v>1585</v>
      </c>
      <c r="E2623" t="s">
        <v>23</v>
      </c>
      <c r="F2623" t="s">
        <v>44</v>
      </c>
      <c r="G2623">
        <v>2010</v>
      </c>
      <c r="H2623" t="s">
        <v>34</v>
      </c>
      <c r="K2623" t="s">
        <v>25</v>
      </c>
      <c r="L2623" t="s">
        <v>30</v>
      </c>
      <c r="M2623" t="b">
        <v>1</v>
      </c>
      <c r="N2623" t="s">
        <v>5830</v>
      </c>
      <c r="P2623" t="s">
        <v>376</v>
      </c>
      <c r="Q2623" t="b">
        <v>1</v>
      </c>
      <c r="S2623" t="str">
        <f>"9780310714675"</f>
        <v>9780310714675</v>
      </c>
      <c r="T2623" t="str">
        <f>"9780310862949"</f>
        <v>9780310862949</v>
      </c>
      <c r="U2623" t="b">
        <v>0</v>
      </c>
      <c r="W2623" t="b">
        <v>0</v>
      </c>
    </row>
    <row r="2624" spans="1:23" x14ac:dyDescent="0.3">
      <c r="A2624">
        <v>2979680</v>
      </c>
      <c r="B2624">
        <v>86.22</v>
      </c>
      <c r="C2624" t="s">
        <v>5831</v>
      </c>
      <c r="D2624" t="s">
        <v>5832</v>
      </c>
      <c r="E2624" t="s">
        <v>23</v>
      </c>
      <c r="F2624" t="s">
        <v>44</v>
      </c>
      <c r="G2624">
        <v>2011</v>
      </c>
      <c r="H2624" t="s">
        <v>912</v>
      </c>
      <c r="K2624" t="s">
        <v>25</v>
      </c>
      <c r="L2624" t="s">
        <v>30</v>
      </c>
      <c r="M2624" t="b">
        <v>1</v>
      </c>
      <c r="N2624" t="s">
        <v>5833</v>
      </c>
      <c r="Q2624" t="b">
        <v>0</v>
      </c>
      <c r="S2624" t="str">
        <f>"9780310271505"</f>
        <v>9780310271505</v>
      </c>
      <c r="T2624" t="str">
        <f>"9780310866275"</f>
        <v>9780310866275</v>
      </c>
      <c r="U2624" t="b">
        <v>0</v>
      </c>
      <c r="W2624" t="b">
        <v>0</v>
      </c>
    </row>
    <row r="2625" spans="1:23" x14ac:dyDescent="0.3">
      <c r="A2625">
        <v>2979679</v>
      </c>
      <c r="B2625">
        <v>37.92</v>
      </c>
      <c r="C2625" t="s">
        <v>5834</v>
      </c>
      <c r="E2625" t="s">
        <v>23</v>
      </c>
      <c r="F2625" t="s">
        <v>44</v>
      </c>
      <c r="G2625">
        <v>2010</v>
      </c>
      <c r="H2625" t="s">
        <v>56</v>
      </c>
      <c r="K2625" t="s">
        <v>25</v>
      </c>
      <c r="M2625" t="b">
        <v>1</v>
      </c>
      <c r="N2625" t="s">
        <v>5835</v>
      </c>
      <c r="Q2625" t="b">
        <v>0</v>
      </c>
      <c r="S2625" t="str">
        <f>"9780310218043"</f>
        <v>9780310218043</v>
      </c>
      <c r="T2625" t="str">
        <f>"9780310877561"</f>
        <v>9780310877561</v>
      </c>
      <c r="U2625" t="b">
        <v>0</v>
      </c>
      <c r="W2625" t="b">
        <v>0</v>
      </c>
    </row>
    <row r="2626" spans="1:23" x14ac:dyDescent="0.3">
      <c r="A2626">
        <v>2979678</v>
      </c>
      <c r="B2626">
        <v>44.82</v>
      </c>
      <c r="C2626" t="s">
        <v>5836</v>
      </c>
      <c r="E2626" t="s">
        <v>23</v>
      </c>
      <c r="F2626" t="s">
        <v>44</v>
      </c>
      <c r="G2626">
        <v>2014</v>
      </c>
      <c r="H2626" t="s">
        <v>728</v>
      </c>
      <c r="K2626" t="s">
        <v>25</v>
      </c>
      <c r="L2626" t="s">
        <v>30</v>
      </c>
      <c r="M2626" t="b">
        <v>1</v>
      </c>
      <c r="N2626" t="s">
        <v>3646</v>
      </c>
      <c r="Q2626" t="b">
        <v>1</v>
      </c>
      <c r="S2626" t="str">
        <f>"9780310338451"</f>
        <v>9780310338451</v>
      </c>
      <c r="T2626" t="str">
        <f>"9780310338444"</f>
        <v>9780310338444</v>
      </c>
      <c r="U2626" t="b">
        <v>0</v>
      </c>
      <c r="W2626" t="b">
        <v>0</v>
      </c>
    </row>
    <row r="2627" spans="1:23" x14ac:dyDescent="0.3">
      <c r="A2627">
        <v>2979677</v>
      </c>
      <c r="B2627">
        <v>55.17</v>
      </c>
      <c r="C2627" t="s">
        <v>5837</v>
      </c>
      <c r="D2627" t="s">
        <v>5838</v>
      </c>
      <c r="E2627" t="s">
        <v>23</v>
      </c>
      <c r="F2627" t="s">
        <v>44</v>
      </c>
      <c r="G2627">
        <v>2016</v>
      </c>
      <c r="H2627" t="s">
        <v>759</v>
      </c>
      <c r="K2627" t="s">
        <v>25</v>
      </c>
      <c r="L2627" t="s">
        <v>26</v>
      </c>
      <c r="M2627" t="b">
        <v>1</v>
      </c>
      <c r="N2627" t="s">
        <v>5839</v>
      </c>
      <c r="Q2627" t="b">
        <v>0</v>
      </c>
      <c r="S2627" t="str">
        <f>"9780310346098"</f>
        <v>9780310346098</v>
      </c>
      <c r="T2627" t="str">
        <f>"9780310346104"</f>
        <v>9780310346104</v>
      </c>
      <c r="U2627" t="b">
        <v>0</v>
      </c>
      <c r="W2627" t="b">
        <v>0</v>
      </c>
    </row>
    <row r="2628" spans="1:23" x14ac:dyDescent="0.3">
      <c r="A2628">
        <v>2979676</v>
      </c>
      <c r="B2628">
        <v>35.5</v>
      </c>
      <c r="C2628" t="s">
        <v>5840</v>
      </c>
      <c r="E2628" t="s">
        <v>23</v>
      </c>
      <c r="F2628" t="s">
        <v>44</v>
      </c>
      <c r="G2628">
        <v>2018</v>
      </c>
      <c r="H2628" t="s">
        <v>24</v>
      </c>
      <c r="K2628" t="s">
        <v>25</v>
      </c>
      <c r="L2628" t="s">
        <v>26</v>
      </c>
      <c r="M2628" t="b">
        <v>1</v>
      </c>
      <c r="N2628" t="s">
        <v>4171</v>
      </c>
      <c r="Q2628" t="b">
        <v>0</v>
      </c>
      <c r="T2628" t="str">
        <f>"9780310357421"</f>
        <v>9780310357421</v>
      </c>
      <c r="U2628" t="b">
        <v>0</v>
      </c>
      <c r="W2628" t="b">
        <v>0</v>
      </c>
    </row>
    <row r="2629" spans="1:23" x14ac:dyDescent="0.3">
      <c r="A2629">
        <v>2979675</v>
      </c>
      <c r="B2629">
        <v>44.82</v>
      </c>
      <c r="C2629" t="s">
        <v>5841</v>
      </c>
      <c r="E2629" t="s">
        <v>23</v>
      </c>
      <c r="F2629" t="s">
        <v>44</v>
      </c>
      <c r="G2629">
        <v>2009</v>
      </c>
      <c r="H2629" t="s">
        <v>58</v>
      </c>
      <c r="K2629" t="s">
        <v>25</v>
      </c>
      <c r="L2629" t="s">
        <v>30</v>
      </c>
      <c r="M2629" t="b">
        <v>1</v>
      </c>
      <c r="N2629" t="s">
        <v>3183</v>
      </c>
      <c r="P2629" t="s">
        <v>3184</v>
      </c>
      <c r="Q2629" t="b">
        <v>0</v>
      </c>
      <c r="S2629" t="str">
        <f>"9780310272670"</f>
        <v>9780310272670</v>
      </c>
      <c r="T2629" t="str">
        <f>"9780310858683"</f>
        <v>9780310858683</v>
      </c>
      <c r="U2629" t="b">
        <v>0</v>
      </c>
      <c r="W2629" t="b">
        <v>0</v>
      </c>
    </row>
    <row r="2630" spans="1:23" x14ac:dyDescent="0.3">
      <c r="A2630">
        <v>2979674</v>
      </c>
      <c r="B2630">
        <v>42.61</v>
      </c>
      <c r="C2630" t="s">
        <v>5842</v>
      </c>
      <c r="E2630" t="s">
        <v>23</v>
      </c>
      <c r="F2630" t="s">
        <v>44</v>
      </c>
      <c r="G2630">
        <v>2012</v>
      </c>
      <c r="H2630" t="s">
        <v>3944</v>
      </c>
      <c r="K2630" t="s">
        <v>25</v>
      </c>
      <c r="L2630" t="s">
        <v>30</v>
      </c>
      <c r="M2630" t="b">
        <v>1</v>
      </c>
      <c r="N2630" t="s">
        <v>3353</v>
      </c>
      <c r="P2630" t="s">
        <v>3945</v>
      </c>
      <c r="Q2630" t="b">
        <v>1</v>
      </c>
      <c r="S2630" t="str">
        <f>"9780310324560"</f>
        <v>9780310324560</v>
      </c>
      <c r="T2630" t="str">
        <f>"9780310413240"</f>
        <v>9780310413240</v>
      </c>
      <c r="U2630" t="b">
        <v>0</v>
      </c>
      <c r="W2630" t="b">
        <v>0</v>
      </c>
    </row>
    <row r="2631" spans="1:23" x14ac:dyDescent="0.3">
      <c r="A2631">
        <v>2979673</v>
      </c>
      <c r="B2631">
        <v>55.17</v>
      </c>
      <c r="C2631" t="s">
        <v>5843</v>
      </c>
      <c r="D2631" t="s">
        <v>5844</v>
      </c>
      <c r="E2631" t="s">
        <v>23</v>
      </c>
      <c r="F2631" t="s">
        <v>44</v>
      </c>
      <c r="G2631">
        <v>2016</v>
      </c>
      <c r="H2631" t="s">
        <v>58</v>
      </c>
      <c r="K2631" t="s">
        <v>25</v>
      </c>
      <c r="L2631" t="s">
        <v>26</v>
      </c>
      <c r="M2631" t="b">
        <v>1</v>
      </c>
      <c r="N2631" t="s">
        <v>5845</v>
      </c>
      <c r="Q2631" t="b">
        <v>0</v>
      </c>
      <c r="S2631" t="str">
        <f>"9780310346234"</f>
        <v>9780310346234</v>
      </c>
      <c r="T2631" t="str">
        <f>"9780310346241"</f>
        <v>9780310346241</v>
      </c>
      <c r="U2631" t="b">
        <v>0</v>
      </c>
      <c r="W2631" t="b">
        <v>0</v>
      </c>
    </row>
    <row r="2632" spans="1:23" x14ac:dyDescent="0.3">
      <c r="A2632">
        <v>2979672</v>
      </c>
      <c r="B2632">
        <v>68.97</v>
      </c>
      <c r="C2632" t="s">
        <v>5846</v>
      </c>
      <c r="D2632" t="s">
        <v>5847</v>
      </c>
      <c r="E2632" t="s">
        <v>23</v>
      </c>
      <c r="F2632" t="s">
        <v>44</v>
      </c>
      <c r="G2632">
        <v>2021</v>
      </c>
      <c r="H2632" t="s">
        <v>5848</v>
      </c>
      <c r="I2632" t="s">
        <v>3448</v>
      </c>
      <c r="J2632" t="s">
        <v>5849</v>
      </c>
      <c r="K2632" t="s">
        <v>25</v>
      </c>
      <c r="L2632" t="s">
        <v>26</v>
      </c>
      <c r="M2632" t="b">
        <v>1</v>
      </c>
      <c r="N2632" t="s">
        <v>5850</v>
      </c>
      <c r="O2632" t="str">
        <f>"253"</f>
        <v>253</v>
      </c>
      <c r="P2632" t="s">
        <v>5851</v>
      </c>
      <c r="Q2632" t="b">
        <v>0</v>
      </c>
      <c r="S2632" t="str">
        <f>"9780310098379"</f>
        <v>9780310098379</v>
      </c>
      <c r="T2632" t="str">
        <f>"9780310098393"</f>
        <v>9780310098393</v>
      </c>
      <c r="U2632" t="b">
        <v>0</v>
      </c>
      <c r="W2632" t="b">
        <v>0</v>
      </c>
    </row>
    <row r="2633" spans="1:23" x14ac:dyDescent="0.3">
      <c r="A2633">
        <v>2979671</v>
      </c>
      <c r="B2633">
        <v>71.03</v>
      </c>
      <c r="C2633" t="s">
        <v>5852</v>
      </c>
      <c r="D2633" t="s">
        <v>5853</v>
      </c>
      <c r="E2633" t="s">
        <v>23</v>
      </c>
      <c r="F2633" t="s">
        <v>44</v>
      </c>
      <c r="G2633">
        <v>2016</v>
      </c>
      <c r="H2633" t="s">
        <v>89</v>
      </c>
      <c r="K2633" t="s">
        <v>25</v>
      </c>
      <c r="L2633" t="s">
        <v>26</v>
      </c>
      <c r="M2633" t="b">
        <v>1</v>
      </c>
      <c r="N2633" t="s">
        <v>5854</v>
      </c>
      <c r="Q2633" t="b">
        <v>0</v>
      </c>
      <c r="T2633" t="str">
        <f>"9780310344896"</f>
        <v>9780310344896</v>
      </c>
      <c r="U2633" t="b">
        <v>0</v>
      </c>
      <c r="W2633" t="b">
        <v>0</v>
      </c>
    </row>
    <row r="2634" spans="1:23" x14ac:dyDescent="0.3">
      <c r="A2634">
        <v>2979670</v>
      </c>
      <c r="B2634">
        <v>58.62</v>
      </c>
      <c r="C2634" t="s">
        <v>5855</v>
      </c>
      <c r="D2634" t="s">
        <v>5856</v>
      </c>
      <c r="E2634" t="s">
        <v>23</v>
      </c>
      <c r="F2634" t="s">
        <v>44</v>
      </c>
      <c r="G2634">
        <v>2016</v>
      </c>
      <c r="H2634" t="s">
        <v>5857</v>
      </c>
      <c r="K2634" t="s">
        <v>25</v>
      </c>
      <c r="L2634" t="s">
        <v>26</v>
      </c>
      <c r="M2634" t="b">
        <v>1</v>
      </c>
      <c r="N2634" t="s">
        <v>5858</v>
      </c>
      <c r="Q2634" t="b">
        <v>0</v>
      </c>
      <c r="S2634" t="str">
        <f>"9780310345893"</f>
        <v>9780310345893</v>
      </c>
      <c r="T2634" t="str">
        <f>"9780310345909"</f>
        <v>9780310345909</v>
      </c>
      <c r="U2634" t="b">
        <v>0</v>
      </c>
      <c r="W2634" t="b">
        <v>0</v>
      </c>
    </row>
    <row r="2635" spans="1:23" x14ac:dyDescent="0.3">
      <c r="A2635">
        <v>2979669</v>
      </c>
      <c r="B2635">
        <v>103.47</v>
      </c>
      <c r="C2635" t="s">
        <v>5859</v>
      </c>
      <c r="D2635" t="s">
        <v>5860</v>
      </c>
      <c r="E2635" t="s">
        <v>23</v>
      </c>
      <c r="F2635" t="s">
        <v>44</v>
      </c>
      <c r="G2635">
        <v>2018</v>
      </c>
      <c r="H2635" t="s">
        <v>912</v>
      </c>
      <c r="K2635" t="s">
        <v>25</v>
      </c>
      <c r="L2635" t="s">
        <v>26</v>
      </c>
      <c r="M2635" t="b">
        <v>1</v>
      </c>
      <c r="N2635" t="s">
        <v>1341</v>
      </c>
      <c r="Q2635" t="b">
        <v>0</v>
      </c>
      <c r="S2635" t="str">
        <f>"9780310353300"</f>
        <v>9780310353300</v>
      </c>
      <c r="T2635" t="str">
        <f>"9780310353324"</f>
        <v>9780310353324</v>
      </c>
      <c r="U2635" t="b">
        <v>0</v>
      </c>
      <c r="W2635" t="b">
        <v>0</v>
      </c>
    </row>
    <row r="2636" spans="1:23" x14ac:dyDescent="0.3">
      <c r="A2636">
        <v>2979668</v>
      </c>
      <c r="B2636">
        <v>71.03</v>
      </c>
      <c r="C2636" t="s">
        <v>5861</v>
      </c>
      <c r="D2636" t="s">
        <v>5862</v>
      </c>
      <c r="E2636" t="s">
        <v>23</v>
      </c>
      <c r="F2636" t="s">
        <v>44</v>
      </c>
      <c r="G2636">
        <v>2017</v>
      </c>
      <c r="H2636" t="s">
        <v>66</v>
      </c>
      <c r="K2636" t="s">
        <v>25</v>
      </c>
      <c r="L2636" t="s">
        <v>30</v>
      </c>
      <c r="M2636" t="b">
        <v>1</v>
      </c>
      <c r="N2636" t="s">
        <v>2865</v>
      </c>
      <c r="P2636" t="s">
        <v>5140</v>
      </c>
      <c r="Q2636" t="b">
        <v>1</v>
      </c>
      <c r="T2636" t="str">
        <f>"9780310351146"</f>
        <v>9780310351146</v>
      </c>
      <c r="U2636" t="b">
        <v>0</v>
      </c>
      <c r="W2636" t="b">
        <v>0</v>
      </c>
    </row>
    <row r="2637" spans="1:23" x14ac:dyDescent="0.3">
      <c r="A2637">
        <v>2979667</v>
      </c>
      <c r="B2637">
        <v>79.319999999999993</v>
      </c>
      <c r="C2637" t="s">
        <v>5863</v>
      </c>
      <c r="D2637" t="s">
        <v>5864</v>
      </c>
      <c r="E2637" t="s">
        <v>23</v>
      </c>
      <c r="F2637" t="s">
        <v>44</v>
      </c>
      <c r="G2637">
        <v>2020</v>
      </c>
      <c r="H2637" t="s">
        <v>736</v>
      </c>
      <c r="K2637" t="s">
        <v>25</v>
      </c>
      <c r="L2637" t="s">
        <v>26</v>
      </c>
      <c r="M2637" t="b">
        <v>1</v>
      </c>
      <c r="N2637" t="s">
        <v>5716</v>
      </c>
      <c r="Q2637" t="b">
        <v>0</v>
      </c>
      <c r="S2637" t="str">
        <f>"9780310357605"</f>
        <v>9780310357605</v>
      </c>
      <c r="T2637" t="str">
        <f>"9780310357629"</f>
        <v>9780310357629</v>
      </c>
      <c r="U2637" t="b">
        <v>0</v>
      </c>
      <c r="W2637" t="b">
        <v>0</v>
      </c>
    </row>
    <row r="2638" spans="1:23" x14ac:dyDescent="0.3">
      <c r="A2638">
        <v>2979666</v>
      </c>
      <c r="B2638">
        <v>53.27</v>
      </c>
      <c r="C2638" t="s">
        <v>5865</v>
      </c>
      <c r="D2638" t="s">
        <v>5866</v>
      </c>
      <c r="E2638" t="s">
        <v>23</v>
      </c>
      <c r="F2638" t="s">
        <v>44</v>
      </c>
      <c r="G2638">
        <v>2010</v>
      </c>
      <c r="H2638" t="s">
        <v>756</v>
      </c>
      <c r="K2638" t="s">
        <v>25</v>
      </c>
      <c r="L2638" t="s">
        <v>30</v>
      </c>
      <c r="M2638" t="b">
        <v>1</v>
      </c>
      <c r="N2638" t="s">
        <v>5867</v>
      </c>
      <c r="P2638" t="s">
        <v>4756</v>
      </c>
      <c r="Q2638" t="b">
        <v>0</v>
      </c>
      <c r="T2638" t="str">
        <f>"9780310323167"</f>
        <v>9780310323167</v>
      </c>
      <c r="U2638" t="b">
        <v>0</v>
      </c>
      <c r="W2638" t="b">
        <v>0</v>
      </c>
    </row>
    <row r="2639" spans="1:23" x14ac:dyDescent="0.3">
      <c r="A2639">
        <v>2979665</v>
      </c>
      <c r="B2639">
        <v>42.61</v>
      </c>
      <c r="C2639" t="s">
        <v>5868</v>
      </c>
      <c r="D2639" t="s">
        <v>5869</v>
      </c>
      <c r="E2639" t="s">
        <v>23</v>
      </c>
      <c r="F2639" t="s">
        <v>44</v>
      </c>
      <c r="G2639">
        <v>2010</v>
      </c>
      <c r="H2639" t="s">
        <v>58</v>
      </c>
      <c r="K2639" t="s">
        <v>25</v>
      </c>
      <c r="L2639" t="s">
        <v>30</v>
      </c>
      <c r="M2639" t="b">
        <v>1</v>
      </c>
      <c r="N2639" t="s">
        <v>5870</v>
      </c>
      <c r="Q2639" t="b">
        <v>0</v>
      </c>
      <c r="T2639" t="str">
        <f>"9780310562689"</f>
        <v>9780310562689</v>
      </c>
      <c r="U2639" t="b">
        <v>0</v>
      </c>
      <c r="W2639" t="b">
        <v>0</v>
      </c>
    </row>
    <row r="2640" spans="1:23" x14ac:dyDescent="0.3">
      <c r="A2640">
        <v>2979664</v>
      </c>
      <c r="B2640">
        <v>55.17</v>
      </c>
      <c r="C2640" t="s">
        <v>5871</v>
      </c>
      <c r="D2640" t="s">
        <v>5872</v>
      </c>
      <c r="E2640" t="s">
        <v>23</v>
      </c>
      <c r="F2640" t="s">
        <v>44</v>
      </c>
      <c r="G2640">
        <v>2019</v>
      </c>
      <c r="H2640" t="s">
        <v>834</v>
      </c>
      <c r="K2640" t="s">
        <v>25</v>
      </c>
      <c r="L2640" t="s">
        <v>26</v>
      </c>
      <c r="M2640" t="b">
        <v>1</v>
      </c>
      <c r="N2640" t="s">
        <v>5873</v>
      </c>
      <c r="Q2640" t="b">
        <v>0</v>
      </c>
      <c r="S2640" t="str">
        <f>"9780310767350"</f>
        <v>9780310767350</v>
      </c>
      <c r="T2640" t="str">
        <f>"9780310767596"</f>
        <v>9780310767596</v>
      </c>
      <c r="U2640" t="b">
        <v>0</v>
      </c>
      <c r="W2640" t="b">
        <v>0</v>
      </c>
    </row>
    <row r="2641" spans="1:23" x14ac:dyDescent="0.3">
      <c r="A2641">
        <v>2979663</v>
      </c>
      <c r="B2641">
        <v>65.52</v>
      </c>
      <c r="C2641" t="s">
        <v>5874</v>
      </c>
      <c r="D2641" t="s">
        <v>5875</v>
      </c>
      <c r="E2641" t="s">
        <v>23</v>
      </c>
      <c r="F2641" t="s">
        <v>44</v>
      </c>
      <c r="G2641">
        <v>2019</v>
      </c>
      <c r="H2641" t="s">
        <v>5876</v>
      </c>
      <c r="K2641" t="s">
        <v>25</v>
      </c>
      <c r="L2641" t="s">
        <v>26</v>
      </c>
      <c r="M2641" t="b">
        <v>1</v>
      </c>
      <c r="N2641" t="s">
        <v>5877</v>
      </c>
      <c r="Q2641" t="b">
        <v>0</v>
      </c>
      <c r="S2641" t="str">
        <f>"9780310353997"</f>
        <v>9780310353997</v>
      </c>
      <c r="T2641" t="str">
        <f>"9780310354017"</f>
        <v>9780310354017</v>
      </c>
      <c r="U2641" t="b">
        <v>0</v>
      </c>
      <c r="W2641" t="b">
        <v>0</v>
      </c>
    </row>
    <row r="2642" spans="1:23" x14ac:dyDescent="0.3">
      <c r="A2642">
        <v>2979661</v>
      </c>
      <c r="B2642">
        <v>62.07</v>
      </c>
      <c r="C2642" t="s">
        <v>5878</v>
      </c>
      <c r="D2642" t="s">
        <v>5765</v>
      </c>
      <c r="E2642" t="s">
        <v>23</v>
      </c>
      <c r="F2642" t="s">
        <v>44</v>
      </c>
      <c r="G2642">
        <v>2012</v>
      </c>
      <c r="H2642" t="s">
        <v>89</v>
      </c>
      <c r="K2642" t="s">
        <v>25</v>
      </c>
      <c r="L2642" t="s">
        <v>30</v>
      </c>
      <c r="M2642" t="b">
        <v>1</v>
      </c>
      <c r="N2642" t="s">
        <v>904</v>
      </c>
      <c r="Q2642" t="b">
        <v>0</v>
      </c>
      <c r="S2642" t="str">
        <f>"9780310357407"</f>
        <v>9780310357407</v>
      </c>
      <c r="T2642" t="str">
        <f>"9780310333937"</f>
        <v>9780310333937</v>
      </c>
      <c r="U2642" t="b">
        <v>0</v>
      </c>
      <c r="W2642" t="b">
        <v>0</v>
      </c>
    </row>
    <row r="2643" spans="1:23" x14ac:dyDescent="0.3">
      <c r="A2643">
        <v>2979660</v>
      </c>
      <c r="B2643">
        <v>51.72</v>
      </c>
      <c r="C2643" t="s">
        <v>5879</v>
      </c>
      <c r="D2643" t="s">
        <v>5880</v>
      </c>
      <c r="E2643" t="s">
        <v>23</v>
      </c>
      <c r="F2643" t="s">
        <v>44</v>
      </c>
      <c r="G2643">
        <v>2011</v>
      </c>
      <c r="H2643" t="s">
        <v>56</v>
      </c>
      <c r="K2643" t="s">
        <v>25</v>
      </c>
      <c r="L2643" t="s">
        <v>30</v>
      </c>
      <c r="M2643" t="b">
        <v>1</v>
      </c>
      <c r="N2643" t="s">
        <v>5881</v>
      </c>
      <c r="Q2643" t="b">
        <v>0</v>
      </c>
      <c r="S2643" t="str">
        <f>"9780310331032"</f>
        <v>9780310331032</v>
      </c>
      <c r="T2643" t="str">
        <f>"9780310416494"</f>
        <v>9780310416494</v>
      </c>
      <c r="U2643" t="b">
        <v>0</v>
      </c>
      <c r="W2643" t="b">
        <v>0</v>
      </c>
    </row>
    <row r="2644" spans="1:23" x14ac:dyDescent="0.3">
      <c r="A2644">
        <v>2979659</v>
      </c>
      <c r="B2644">
        <v>51.72</v>
      </c>
      <c r="C2644" t="s">
        <v>5882</v>
      </c>
      <c r="D2644" t="s">
        <v>5883</v>
      </c>
      <c r="E2644" t="s">
        <v>23</v>
      </c>
      <c r="F2644" t="s">
        <v>44</v>
      </c>
      <c r="G2644">
        <v>2010</v>
      </c>
      <c r="H2644" t="s">
        <v>737</v>
      </c>
      <c r="K2644" t="s">
        <v>25</v>
      </c>
      <c r="L2644" t="s">
        <v>30</v>
      </c>
      <c r="M2644" t="b">
        <v>1</v>
      </c>
      <c r="N2644" t="s">
        <v>4151</v>
      </c>
      <c r="Q2644" t="b">
        <v>0</v>
      </c>
      <c r="S2644" t="str">
        <f>"9780310243076"</f>
        <v>9780310243076</v>
      </c>
      <c r="T2644" t="str">
        <f>"9780310873730"</f>
        <v>9780310873730</v>
      </c>
      <c r="U2644" t="b">
        <v>0</v>
      </c>
      <c r="W2644" t="b">
        <v>0</v>
      </c>
    </row>
    <row r="2645" spans="1:23" x14ac:dyDescent="0.3">
      <c r="A2645">
        <v>2979658</v>
      </c>
      <c r="B2645">
        <v>14.18</v>
      </c>
      <c r="C2645" t="s">
        <v>5884</v>
      </c>
      <c r="D2645" t="s">
        <v>5885</v>
      </c>
      <c r="E2645" t="s">
        <v>23</v>
      </c>
      <c r="F2645" t="s">
        <v>44</v>
      </c>
      <c r="G2645">
        <v>2015</v>
      </c>
      <c r="H2645" t="s">
        <v>728</v>
      </c>
      <c r="K2645" t="s">
        <v>25</v>
      </c>
      <c r="L2645" t="s">
        <v>26</v>
      </c>
      <c r="M2645" t="b">
        <v>1</v>
      </c>
      <c r="N2645" t="s">
        <v>5886</v>
      </c>
      <c r="P2645" t="s">
        <v>2785</v>
      </c>
      <c r="Q2645" t="b">
        <v>1</v>
      </c>
      <c r="T2645" t="str">
        <f>"9780310395973"</f>
        <v>9780310395973</v>
      </c>
      <c r="U2645" t="b">
        <v>0</v>
      </c>
      <c r="W2645" t="b">
        <v>0</v>
      </c>
    </row>
    <row r="2646" spans="1:23" x14ac:dyDescent="0.3">
      <c r="A2646">
        <v>2979657</v>
      </c>
      <c r="B2646">
        <v>58.62</v>
      </c>
      <c r="C2646" t="s">
        <v>5887</v>
      </c>
      <c r="D2646" t="s">
        <v>5888</v>
      </c>
      <c r="E2646" t="s">
        <v>23</v>
      </c>
      <c r="F2646" t="s">
        <v>44</v>
      </c>
      <c r="G2646">
        <v>2009</v>
      </c>
      <c r="H2646" t="s">
        <v>58</v>
      </c>
      <c r="K2646" t="s">
        <v>25</v>
      </c>
      <c r="L2646" t="s">
        <v>30</v>
      </c>
      <c r="M2646" t="b">
        <v>1</v>
      </c>
      <c r="N2646" t="s">
        <v>54</v>
      </c>
      <c r="Q2646" t="b">
        <v>0</v>
      </c>
      <c r="S2646" t="str">
        <f>"9780310331544"</f>
        <v>9780310331544</v>
      </c>
      <c r="T2646" t="str">
        <f>"9780310564027"</f>
        <v>9780310564027</v>
      </c>
      <c r="U2646" t="b">
        <v>0</v>
      </c>
      <c r="W2646" t="b">
        <v>0</v>
      </c>
    </row>
    <row r="2647" spans="1:23" x14ac:dyDescent="0.3">
      <c r="A2647">
        <v>2979656</v>
      </c>
      <c r="B2647">
        <v>93.12</v>
      </c>
      <c r="C2647" t="s">
        <v>5889</v>
      </c>
      <c r="D2647" t="s">
        <v>5758</v>
      </c>
      <c r="E2647" t="s">
        <v>23</v>
      </c>
      <c r="F2647" t="s">
        <v>44</v>
      </c>
      <c r="G2647">
        <v>2017</v>
      </c>
      <c r="H2647" t="s">
        <v>69</v>
      </c>
      <c r="K2647" t="s">
        <v>25</v>
      </c>
      <c r="L2647" t="s">
        <v>26</v>
      </c>
      <c r="M2647" t="b">
        <v>1</v>
      </c>
      <c r="N2647" t="s">
        <v>2641</v>
      </c>
      <c r="Q2647" t="b">
        <v>0</v>
      </c>
      <c r="S2647" t="str">
        <f>"9780310347262"</f>
        <v>9780310347262</v>
      </c>
      <c r="T2647" t="str">
        <f>"9780310347279"</f>
        <v>9780310347279</v>
      </c>
      <c r="U2647" t="b">
        <v>0</v>
      </c>
      <c r="W2647" t="b">
        <v>0</v>
      </c>
    </row>
    <row r="2648" spans="1:23" x14ac:dyDescent="0.3">
      <c r="A2648">
        <v>2979655</v>
      </c>
      <c r="B2648">
        <v>51.72</v>
      </c>
      <c r="C2648" t="s">
        <v>5890</v>
      </c>
      <c r="E2648" t="s">
        <v>23</v>
      </c>
      <c r="F2648" t="s">
        <v>44</v>
      </c>
      <c r="G2648">
        <v>2010</v>
      </c>
      <c r="H2648" t="s">
        <v>74</v>
      </c>
      <c r="K2648" t="s">
        <v>25</v>
      </c>
      <c r="L2648" t="s">
        <v>30</v>
      </c>
      <c r="M2648" t="b">
        <v>1</v>
      </c>
      <c r="N2648" t="s">
        <v>3728</v>
      </c>
      <c r="P2648" t="s">
        <v>3729</v>
      </c>
      <c r="Q2648" t="b">
        <v>1</v>
      </c>
      <c r="S2648" t="str">
        <f>"9780310235194"</f>
        <v>9780310235194</v>
      </c>
      <c r="T2648" t="str">
        <f>"9780310873716"</f>
        <v>9780310873716</v>
      </c>
      <c r="U2648" t="b">
        <v>0</v>
      </c>
      <c r="W2648" t="b">
        <v>0</v>
      </c>
    </row>
    <row r="2649" spans="1:23" x14ac:dyDescent="0.3">
      <c r="A2649">
        <v>2979654</v>
      </c>
      <c r="B2649">
        <v>89.67</v>
      </c>
      <c r="C2649" t="s">
        <v>5891</v>
      </c>
      <c r="D2649" t="s">
        <v>5892</v>
      </c>
      <c r="E2649" t="s">
        <v>23</v>
      </c>
      <c r="F2649" t="s">
        <v>44</v>
      </c>
      <c r="G2649">
        <v>2019</v>
      </c>
      <c r="H2649" t="s">
        <v>121</v>
      </c>
      <c r="K2649" t="s">
        <v>25</v>
      </c>
      <c r="L2649" t="s">
        <v>26</v>
      </c>
      <c r="M2649" t="b">
        <v>1</v>
      </c>
      <c r="N2649" t="s">
        <v>403</v>
      </c>
      <c r="Q2649" t="b">
        <v>0</v>
      </c>
      <c r="S2649" t="str">
        <f>"9780310353812"</f>
        <v>9780310353812</v>
      </c>
      <c r="T2649" t="str">
        <f>"9780310353829"</f>
        <v>9780310353829</v>
      </c>
      <c r="U2649" t="b">
        <v>0</v>
      </c>
      <c r="W2649" t="b">
        <v>0</v>
      </c>
    </row>
    <row r="2650" spans="1:23" x14ac:dyDescent="0.3">
      <c r="A2650">
        <v>2979653</v>
      </c>
      <c r="B2650">
        <v>51.72</v>
      </c>
      <c r="C2650" t="s">
        <v>5893</v>
      </c>
      <c r="E2650" t="s">
        <v>23</v>
      </c>
      <c r="F2650" t="s">
        <v>44</v>
      </c>
      <c r="G2650">
        <v>2010</v>
      </c>
      <c r="H2650" t="s">
        <v>62</v>
      </c>
      <c r="K2650" t="s">
        <v>25</v>
      </c>
      <c r="L2650" t="s">
        <v>30</v>
      </c>
      <c r="M2650" t="b">
        <v>1</v>
      </c>
      <c r="N2650" t="s">
        <v>1417</v>
      </c>
      <c r="Q2650" t="b">
        <v>0</v>
      </c>
      <c r="S2650" t="str">
        <f>"9780310811848"</f>
        <v>9780310811848</v>
      </c>
      <c r="T2650" t="str">
        <f>"9780310864639"</f>
        <v>9780310864639</v>
      </c>
      <c r="U2650" t="b">
        <v>0</v>
      </c>
      <c r="W2650" t="b">
        <v>0</v>
      </c>
    </row>
    <row r="2651" spans="1:23" x14ac:dyDescent="0.3">
      <c r="A2651">
        <v>2979652</v>
      </c>
      <c r="B2651">
        <v>49.71</v>
      </c>
      <c r="C2651" t="s">
        <v>5894</v>
      </c>
      <c r="D2651" t="s">
        <v>5895</v>
      </c>
      <c r="E2651" t="s">
        <v>23</v>
      </c>
      <c r="F2651" t="s">
        <v>44</v>
      </c>
      <c r="G2651">
        <v>2015</v>
      </c>
      <c r="H2651" t="s">
        <v>728</v>
      </c>
      <c r="K2651" t="s">
        <v>25</v>
      </c>
      <c r="L2651" t="s">
        <v>30</v>
      </c>
      <c r="M2651" t="b">
        <v>1</v>
      </c>
      <c r="N2651" t="s">
        <v>5896</v>
      </c>
      <c r="P2651" t="s">
        <v>2785</v>
      </c>
      <c r="Q2651" t="b">
        <v>1</v>
      </c>
      <c r="T2651" t="str">
        <f>"9780310396079"</f>
        <v>9780310396079</v>
      </c>
      <c r="U2651" t="b">
        <v>0</v>
      </c>
      <c r="W2651" t="b">
        <v>0</v>
      </c>
    </row>
    <row r="2652" spans="1:23" x14ac:dyDescent="0.3">
      <c r="A2652">
        <v>2979651</v>
      </c>
      <c r="B2652">
        <v>51.72</v>
      </c>
      <c r="C2652" t="s">
        <v>5897</v>
      </c>
      <c r="D2652" t="s">
        <v>5898</v>
      </c>
      <c r="E2652" t="s">
        <v>23</v>
      </c>
      <c r="F2652" t="s">
        <v>44</v>
      </c>
      <c r="G2652">
        <v>2009</v>
      </c>
      <c r="H2652" t="s">
        <v>62</v>
      </c>
      <c r="K2652" t="s">
        <v>25</v>
      </c>
      <c r="L2652" t="s">
        <v>30</v>
      </c>
      <c r="M2652" t="b">
        <v>1</v>
      </c>
      <c r="N2652" t="s">
        <v>2742</v>
      </c>
      <c r="Q2652" t="b">
        <v>0</v>
      </c>
      <c r="S2652" t="str">
        <f>"9780310256724"</f>
        <v>9780310256724</v>
      </c>
      <c r="T2652" t="str">
        <f>"9780310861225"</f>
        <v>9780310861225</v>
      </c>
      <c r="U2652" t="b">
        <v>0</v>
      </c>
      <c r="W2652" t="b">
        <v>0</v>
      </c>
    </row>
    <row r="2653" spans="1:23" x14ac:dyDescent="0.3">
      <c r="A2653">
        <v>2979650</v>
      </c>
      <c r="B2653">
        <v>31.95</v>
      </c>
      <c r="C2653" t="s">
        <v>5899</v>
      </c>
      <c r="D2653" t="s">
        <v>1296</v>
      </c>
      <c r="E2653" t="s">
        <v>23</v>
      </c>
      <c r="F2653" t="s">
        <v>44</v>
      </c>
      <c r="G2653">
        <v>2011</v>
      </c>
      <c r="H2653" t="s">
        <v>141</v>
      </c>
      <c r="K2653" t="s">
        <v>25</v>
      </c>
      <c r="L2653" t="s">
        <v>30</v>
      </c>
      <c r="M2653" t="b">
        <v>1</v>
      </c>
      <c r="N2653" t="s">
        <v>1297</v>
      </c>
      <c r="Q2653" t="b">
        <v>0</v>
      </c>
      <c r="S2653" t="str">
        <f>"9780310728917"</f>
        <v>9780310728917</v>
      </c>
      <c r="T2653" t="str">
        <f>"9780310728931"</f>
        <v>9780310728931</v>
      </c>
      <c r="U2653" t="b">
        <v>0</v>
      </c>
      <c r="W2653" t="b">
        <v>0</v>
      </c>
    </row>
    <row r="2654" spans="1:23" x14ac:dyDescent="0.3">
      <c r="A2654">
        <v>2979649</v>
      </c>
      <c r="B2654">
        <v>67.48</v>
      </c>
      <c r="C2654" t="s">
        <v>5900</v>
      </c>
      <c r="D2654" t="s">
        <v>2777</v>
      </c>
      <c r="E2654" t="s">
        <v>23</v>
      </c>
      <c r="F2654" t="s">
        <v>44</v>
      </c>
      <c r="G2654">
        <v>2010</v>
      </c>
      <c r="H2654" t="s">
        <v>132</v>
      </c>
      <c r="K2654" t="s">
        <v>25</v>
      </c>
      <c r="M2654" t="b">
        <v>1</v>
      </c>
      <c r="N2654" t="s">
        <v>2778</v>
      </c>
      <c r="Q2654" t="b">
        <v>0</v>
      </c>
      <c r="T2654" t="str">
        <f>"9780310873259"</f>
        <v>9780310873259</v>
      </c>
      <c r="U2654" t="b">
        <v>0</v>
      </c>
      <c r="W2654" t="b">
        <v>0</v>
      </c>
    </row>
    <row r="2655" spans="1:23" x14ac:dyDescent="0.3">
      <c r="A2655">
        <v>2979648</v>
      </c>
      <c r="B2655">
        <v>58.62</v>
      </c>
      <c r="C2655" t="s">
        <v>5901</v>
      </c>
      <c r="D2655" t="s">
        <v>5902</v>
      </c>
      <c r="E2655" t="s">
        <v>23</v>
      </c>
      <c r="F2655" t="s">
        <v>44</v>
      </c>
      <c r="G2655">
        <v>2017</v>
      </c>
      <c r="H2655" t="s">
        <v>58</v>
      </c>
      <c r="K2655" t="s">
        <v>25</v>
      </c>
      <c r="L2655" t="s">
        <v>26</v>
      </c>
      <c r="M2655" t="b">
        <v>1</v>
      </c>
      <c r="N2655" t="s">
        <v>5776</v>
      </c>
      <c r="Q2655" t="b">
        <v>0</v>
      </c>
      <c r="S2655" t="str">
        <f>"9780310328575"</f>
        <v>9780310328575</v>
      </c>
      <c r="T2655" t="str">
        <f>"9780310328599"</f>
        <v>9780310328599</v>
      </c>
      <c r="U2655" t="b">
        <v>0</v>
      </c>
      <c r="W2655" t="b">
        <v>0</v>
      </c>
    </row>
    <row r="2656" spans="1:23" x14ac:dyDescent="0.3">
      <c r="A2656">
        <v>2979647</v>
      </c>
      <c r="B2656">
        <v>27.57</v>
      </c>
      <c r="C2656" t="s">
        <v>5903</v>
      </c>
      <c r="D2656" t="s">
        <v>5904</v>
      </c>
      <c r="E2656" t="s">
        <v>23</v>
      </c>
      <c r="F2656" t="s">
        <v>44</v>
      </c>
      <c r="G2656">
        <v>2018</v>
      </c>
      <c r="H2656" t="s">
        <v>772</v>
      </c>
      <c r="K2656" t="s">
        <v>25</v>
      </c>
      <c r="L2656" t="s">
        <v>26</v>
      </c>
      <c r="M2656" t="b">
        <v>1</v>
      </c>
      <c r="N2656" t="s">
        <v>5905</v>
      </c>
      <c r="Q2656" t="b">
        <v>1</v>
      </c>
      <c r="S2656" t="str">
        <f>"9780785217589"</f>
        <v>9780785217589</v>
      </c>
      <c r="T2656" t="str">
        <f>"9780785219750"</f>
        <v>9780785219750</v>
      </c>
      <c r="U2656" t="b">
        <v>0</v>
      </c>
      <c r="W2656" t="b">
        <v>0</v>
      </c>
    </row>
    <row r="2657" spans="1:23" x14ac:dyDescent="0.3">
      <c r="A2657">
        <v>2979646</v>
      </c>
      <c r="B2657">
        <v>58.62</v>
      </c>
      <c r="C2657" t="s">
        <v>5906</v>
      </c>
      <c r="D2657" t="s">
        <v>3446</v>
      </c>
      <c r="E2657" t="s">
        <v>23</v>
      </c>
      <c r="F2657" t="s">
        <v>44</v>
      </c>
      <c r="G2657">
        <v>2010</v>
      </c>
      <c r="H2657" t="s">
        <v>1234</v>
      </c>
      <c r="K2657" t="s">
        <v>25</v>
      </c>
      <c r="L2657" t="s">
        <v>30</v>
      </c>
      <c r="M2657" t="b">
        <v>1</v>
      </c>
      <c r="N2657" t="s">
        <v>2959</v>
      </c>
      <c r="Q2657" t="b">
        <v>0</v>
      </c>
      <c r="S2657" t="str">
        <f>"9780310284185"</f>
        <v>9780310284185</v>
      </c>
      <c r="T2657" t="str">
        <f>"9780310564744"</f>
        <v>9780310564744</v>
      </c>
      <c r="U2657" t="b">
        <v>0</v>
      </c>
      <c r="W2657" t="b">
        <v>0</v>
      </c>
    </row>
    <row r="2658" spans="1:23" x14ac:dyDescent="0.3">
      <c r="A2658">
        <v>2979645</v>
      </c>
      <c r="B2658">
        <v>60.37</v>
      </c>
      <c r="C2658" t="s">
        <v>5907</v>
      </c>
      <c r="D2658" t="s">
        <v>5908</v>
      </c>
      <c r="E2658" t="s">
        <v>23</v>
      </c>
      <c r="F2658" t="s">
        <v>44</v>
      </c>
      <c r="G2658">
        <v>2010</v>
      </c>
      <c r="H2658" t="s">
        <v>132</v>
      </c>
      <c r="K2658" t="s">
        <v>25</v>
      </c>
      <c r="L2658" t="s">
        <v>30</v>
      </c>
      <c r="M2658" t="b">
        <v>1</v>
      </c>
      <c r="N2658" t="s">
        <v>5909</v>
      </c>
      <c r="Q2658" t="b">
        <v>0</v>
      </c>
      <c r="T2658" t="str">
        <f>"9780310873471"</f>
        <v>9780310873471</v>
      </c>
      <c r="U2658" t="b">
        <v>0</v>
      </c>
      <c r="W2658" t="b">
        <v>0</v>
      </c>
    </row>
    <row r="2659" spans="1:23" x14ac:dyDescent="0.3">
      <c r="A2659">
        <v>2979644</v>
      </c>
      <c r="B2659">
        <v>58.62</v>
      </c>
      <c r="C2659" t="s">
        <v>5910</v>
      </c>
      <c r="D2659" t="s">
        <v>5911</v>
      </c>
      <c r="E2659" t="s">
        <v>23</v>
      </c>
      <c r="F2659" t="s">
        <v>44</v>
      </c>
      <c r="G2659">
        <v>2010</v>
      </c>
      <c r="H2659" t="s">
        <v>58</v>
      </c>
      <c r="K2659" t="s">
        <v>25</v>
      </c>
      <c r="L2659" t="s">
        <v>30</v>
      </c>
      <c r="M2659" t="b">
        <v>1</v>
      </c>
      <c r="N2659" t="s">
        <v>5776</v>
      </c>
      <c r="Q2659" t="b">
        <v>0</v>
      </c>
      <c r="S2659" t="str">
        <f>"9780310318668"</f>
        <v>9780310318668</v>
      </c>
      <c r="T2659" t="str">
        <f>"9780310410546"</f>
        <v>9780310410546</v>
      </c>
      <c r="U2659" t="b">
        <v>0</v>
      </c>
      <c r="W2659" t="b">
        <v>0</v>
      </c>
    </row>
    <row r="2660" spans="1:23" x14ac:dyDescent="0.3">
      <c r="A2660">
        <v>2979643</v>
      </c>
      <c r="B2660">
        <v>79.319999999999993</v>
      </c>
      <c r="C2660" t="s">
        <v>5912</v>
      </c>
      <c r="D2660" t="s">
        <v>5913</v>
      </c>
      <c r="E2660" t="s">
        <v>23</v>
      </c>
      <c r="F2660" t="s">
        <v>44</v>
      </c>
      <c r="G2660">
        <v>2018</v>
      </c>
      <c r="H2660" t="s">
        <v>736</v>
      </c>
      <c r="K2660" t="s">
        <v>25</v>
      </c>
      <c r="L2660" t="s">
        <v>26</v>
      </c>
      <c r="M2660" t="b">
        <v>1</v>
      </c>
      <c r="N2660" t="s">
        <v>5914</v>
      </c>
      <c r="Q2660" t="b">
        <v>0</v>
      </c>
      <c r="S2660" t="str">
        <f>"9780310349785"</f>
        <v>9780310349785</v>
      </c>
      <c r="T2660" t="str">
        <f>"9780310350552"</f>
        <v>9780310350552</v>
      </c>
      <c r="U2660" t="b">
        <v>0</v>
      </c>
      <c r="W2660" t="b">
        <v>0</v>
      </c>
    </row>
    <row r="2661" spans="1:23" x14ac:dyDescent="0.3">
      <c r="A2661">
        <v>2979642</v>
      </c>
      <c r="B2661">
        <v>34.47</v>
      </c>
      <c r="C2661" t="s">
        <v>5915</v>
      </c>
      <c r="E2661" t="s">
        <v>23</v>
      </c>
      <c r="F2661" t="s">
        <v>44</v>
      </c>
      <c r="G2661">
        <v>2009</v>
      </c>
      <c r="H2661" t="s">
        <v>3147</v>
      </c>
      <c r="K2661" t="s">
        <v>25</v>
      </c>
      <c r="L2661" t="s">
        <v>30</v>
      </c>
      <c r="M2661" t="b">
        <v>1</v>
      </c>
      <c r="N2661" t="s">
        <v>3148</v>
      </c>
      <c r="P2661" t="s">
        <v>3149</v>
      </c>
      <c r="Q2661" t="b">
        <v>0</v>
      </c>
      <c r="S2661" t="str">
        <f>"9780310717539"</f>
        <v>9780310717539</v>
      </c>
      <c r="T2661" t="str">
        <f>"9780310864172"</f>
        <v>9780310864172</v>
      </c>
      <c r="U2661" t="b">
        <v>0</v>
      </c>
      <c r="W2661" t="b">
        <v>0</v>
      </c>
    </row>
    <row r="2662" spans="1:23" x14ac:dyDescent="0.3">
      <c r="A2662">
        <v>2979641</v>
      </c>
      <c r="B2662">
        <v>34.47</v>
      </c>
      <c r="C2662" t="s">
        <v>5916</v>
      </c>
      <c r="D2662" t="s">
        <v>5917</v>
      </c>
      <c r="E2662" t="s">
        <v>23</v>
      </c>
      <c r="F2662" t="s">
        <v>44</v>
      </c>
      <c r="G2662">
        <v>2014</v>
      </c>
      <c r="H2662" t="s">
        <v>5918</v>
      </c>
      <c r="K2662" t="s">
        <v>25</v>
      </c>
      <c r="L2662" t="s">
        <v>30</v>
      </c>
      <c r="M2662" t="b">
        <v>1</v>
      </c>
      <c r="N2662" t="s">
        <v>5919</v>
      </c>
      <c r="Q2662" t="b">
        <v>0</v>
      </c>
      <c r="S2662" t="str">
        <f>"9780310748519"</f>
        <v>9780310748519</v>
      </c>
      <c r="T2662" t="str">
        <f>"9780310748144"</f>
        <v>9780310748144</v>
      </c>
      <c r="U2662" t="b">
        <v>0</v>
      </c>
      <c r="W2662" t="b">
        <v>0</v>
      </c>
    </row>
    <row r="2663" spans="1:23" x14ac:dyDescent="0.3">
      <c r="A2663">
        <v>2979640</v>
      </c>
      <c r="B2663">
        <v>28.39</v>
      </c>
      <c r="C2663" t="s">
        <v>5920</v>
      </c>
      <c r="E2663" t="s">
        <v>23</v>
      </c>
      <c r="F2663" t="s">
        <v>44</v>
      </c>
      <c r="G2663">
        <v>2009</v>
      </c>
      <c r="H2663" t="s">
        <v>531</v>
      </c>
      <c r="K2663" t="s">
        <v>25</v>
      </c>
      <c r="L2663" t="s">
        <v>30</v>
      </c>
      <c r="M2663" t="b">
        <v>1</v>
      </c>
      <c r="N2663" t="s">
        <v>5921</v>
      </c>
      <c r="Q2663" t="b">
        <v>0</v>
      </c>
      <c r="T2663" t="str">
        <f>"9780310861553"</f>
        <v>9780310861553</v>
      </c>
      <c r="U2663" t="b">
        <v>0</v>
      </c>
      <c r="W2663" t="b">
        <v>0</v>
      </c>
    </row>
    <row r="2664" spans="1:23" x14ac:dyDescent="0.3">
      <c r="A2664">
        <v>2979639</v>
      </c>
      <c r="B2664">
        <v>35.5</v>
      </c>
      <c r="C2664" t="s">
        <v>5922</v>
      </c>
      <c r="E2664" t="s">
        <v>23</v>
      </c>
      <c r="F2664" t="s">
        <v>44</v>
      </c>
      <c r="G2664">
        <v>2009</v>
      </c>
      <c r="H2664" t="s">
        <v>132</v>
      </c>
      <c r="K2664" t="s">
        <v>25</v>
      </c>
      <c r="L2664" t="s">
        <v>30</v>
      </c>
      <c r="M2664" t="b">
        <v>1</v>
      </c>
      <c r="N2664" t="s">
        <v>5923</v>
      </c>
      <c r="Q2664" t="b">
        <v>0</v>
      </c>
      <c r="T2664" t="str">
        <f>"9780310866657"</f>
        <v>9780310866657</v>
      </c>
      <c r="U2664" t="b">
        <v>0</v>
      </c>
      <c r="W2664" t="b">
        <v>0</v>
      </c>
    </row>
    <row r="2665" spans="1:23" x14ac:dyDescent="0.3">
      <c r="A2665">
        <v>2979638</v>
      </c>
      <c r="B2665">
        <v>51.72</v>
      </c>
      <c r="C2665" t="s">
        <v>5924</v>
      </c>
      <c r="D2665" t="s">
        <v>5925</v>
      </c>
      <c r="E2665" t="s">
        <v>23</v>
      </c>
      <c r="F2665" t="s">
        <v>44</v>
      </c>
      <c r="G2665">
        <v>2009</v>
      </c>
      <c r="H2665" t="s">
        <v>69</v>
      </c>
      <c r="K2665" t="s">
        <v>25</v>
      </c>
      <c r="L2665" t="s">
        <v>26</v>
      </c>
      <c r="M2665" t="b">
        <v>1</v>
      </c>
      <c r="N2665" t="s">
        <v>2666</v>
      </c>
      <c r="Q2665" t="b">
        <v>0</v>
      </c>
      <c r="S2665" t="str">
        <f>"9780310257387"</f>
        <v>9780310257387</v>
      </c>
      <c r="T2665" t="str">
        <f>"9780310539308"</f>
        <v>9780310539308</v>
      </c>
      <c r="U2665" t="b">
        <v>0</v>
      </c>
      <c r="W2665" t="b">
        <v>0</v>
      </c>
    </row>
    <row r="2666" spans="1:23" x14ac:dyDescent="0.3">
      <c r="A2666">
        <v>2979637</v>
      </c>
      <c r="B2666">
        <v>28.39</v>
      </c>
      <c r="C2666" t="s">
        <v>5926</v>
      </c>
      <c r="E2666" t="s">
        <v>23</v>
      </c>
      <c r="F2666" t="s">
        <v>44</v>
      </c>
      <c r="G2666">
        <v>2010</v>
      </c>
      <c r="H2666" t="s">
        <v>1331</v>
      </c>
      <c r="K2666" t="s">
        <v>25</v>
      </c>
      <c r="L2666" t="s">
        <v>30</v>
      </c>
      <c r="M2666" t="b">
        <v>1</v>
      </c>
      <c r="N2666" t="s">
        <v>102</v>
      </c>
      <c r="P2666" t="s">
        <v>5927</v>
      </c>
      <c r="Q2666" t="b">
        <v>0</v>
      </c>
      <c r="T2666" t="str">
        <f>"9780310863960"</f>
        <v>9780310863960</v>
      </c>
      <c r="U2666" t="b">
        <v>0</v>
      </c>
      <c r="W2666" t="b">
        <v>0</v>
      </c>
    </row>
    <row r="2667" spans="1:23" x14ac:dyDescent="0.3">
      <c r="A2667">
        <v>2979636</v>
      </c>
      <c r="B2667">
        <v>103.47</v>
      </c>
      <c r="C2667" t="s">
        <v>5928</v>
      </c>
      <c r="D2667" t="s">
        <v>5929</v>
      </c>
      <c r="E2667" t="s">
        <v>23</v>
      </c>
      <c r="F2667" t="s">
        <v>44</v>
      </c>
      <c r="G2667">
        <v>2015</v>
      </c>
      <c r="H2667" t="s">
        <v>3287</v>
      </c>
      <c r="K2667" t="s">
        <v>25</v>
      </c>
      <c r="L2667" t="s">
        <v>26</v>
      </c>
      <c r="M2667" t="b">
        <v>1</v>
      </c>
      <c r="N2667" t="s">
        <v>44</v>
      </c>
      <c r="Q2667" t="b">
        <v>0</v>
      </c>
      <c r="S2667" t="str">
        <f>"9780310443872"</f>
        <v>9780310443872</v>
      </c>
      <c r="T2667" t="str">
        <f>"9780310443971"</f>
        <v>9780310443971</v>
      </c>
      <c r="U2667" t="b">
        <v>0</v>
      </c>
      <c r="W2667" t="b">
        <v>0</v>
      </c>
    </row>
    <row r="2668" spans="1:23" x14ac:dyDescent="0.3">
      <c r="A2668">
        <v>2979635</v>
      </c>
      <c r="B2668">
        <v>42.61</v>
      </c>
      <c r="C2668" t="s">
        <v>5930</v>
      </c>
      <c r="D2668" t="s">
        <v>5931</v>
      </c>
      <c r="E2668" t="s">
        <v>23</v>
      </c>
      <c r="F2668" t="s">
        <v>44</v>
      </c>
      <c r="G2668">
        <v>2009</v>
      </c>
      <c r="H2668" t="s">
        <v>58</v>
      </c>
      <c r="K2668" t="s">
        <v>25</v>
      </c>
      <c r="L2668" t="s">
        <v>30</v>
      </c>
      <c r="M2668" t="b">
        <v>1</v>
      </c>
      <c r="N2668" t="s">
        <v>5932</v>
      </c>
      <c r="Q2668" t="b">
        <v>0</v>
      </c>
      <c r="T2668" t="str">
        <f>"9780310571834"</f>
        <v>9780310571834</v>
      </c>
      <c r="U2668" t="b">
        <v>0</v>
      </c>
      <c r="W2668" t="b">
        <v>0</v>
      </c>
    </row>
    <row r="2669" spans="1:23" x14ac:dyDescent="0.3">
      <c r="A2669">
        <v>2979634</v>
      </c>
      <c r="B2669">
        <v>27.57</v>
      </c>
      <c r="C2669" t="s">
        <v>5933</v>
      </c>
      <c r="E2669" t="s">
        <v>23</v>
      </c>
      <c r="F2669" t="s">
        <v>44</v>
      </c>
      <c r="G2669">
        <v>2019</v>
      </c>
      <c r="H2669" t="s">
        <v>772</v>
      </c>
      <c r="K2669" t="s">
        <v>25</v>
      </c>
      <c r="L2669" t="s">
        <v>26</v>
      </c>
      <c r="M2669" t="b">
        <v>1</v>
      </c>
      <c r="N2669" t="s">
        <v>773</v>
      </c>
      <c r="P2669" t="s">
        <v>4657</v>
      </c>
      <c r="Q2669" t="b">
        <v>1</v>
      </c>
      <c r="S2669" t="str">
        <f>"9780310362197"</f>
        <v>9780310362197</v>
      </c>
      <c r="T2669" t="str">
        <f>"9780310348191"</f>
        <v>9780310348191</v>
      </c>
      <c r="U2669" t="b">
        <v>0</v>
      </c>
      <c r="W2669" t="b">
        <v>0</v>
      </c>
    </row>
    <row r="2670" spans="1:23" x14ac:dyDescent="0.3">
      <c r="A2670">
        <v>2979633</v>
      </c>
      <c r="B2670">
        <v>58.62</v>
      </c>
      <c r="C2670" t="s">
        <v>5934</v>
      </c>
      <c r="D2670" t="s">
        <v>5935</v>
      </c>
      <c r="E2670" t="s">
        <v>23</v>
      </c>
      <c r="F2670" t="s">
        <v>44</v>
      </c>
      <c r="G2670">
        <v>2018</v>
      </c>
      <c r="H2670" t="s">
        <v>99</v>
      </c>
      <c r="K2670" t="s">
        <v>25</v>
      </c>
      <c r="L2670" t="s">
        <v>26</v>
      </c>
      <c r="M2670" t="b">
        <v>1</v>
      </c>
      <c r="N2670" t="s">
        <v>5936</v>
      </c>
      <c r="Q2670" t="b">
        <v>0</v>
      </c>
      <c r="S2670" t="str">
        <f>"9780310351078"</f>
        <v>9780310351078</v>
      </c>
      <c r="T2670" t="str">
        <f>"9780310351108"</f>
        <v>9780310351108</v>
      </c>
      <c r="U2670" t="b">
        <v>0</v>
      </c>
      <c r="W2670" t="b">
        <v>0</v>
      </c>
    </row>
    <row r="2671" spans="1:23" x14ac:dyDescent="0.3">
      <c r="A2671">
        <v>2979632</v>
      </c>
      <c r="B2671">
        <v>55.17</v>
      </c>
      <c r="C2671" t="s">
        <v>5937</v>
      </c>
      <c r="E2671" t="s">
        <v>23</v>
      </c>
      <c r="F2671" t="s">
        <v>44</v>
      </c>
      <c r="G2671">
        <v>2011</v>
      </c>
      <c r="H2671" t="s">
        <v>2535</v>
      </c>
      <c r="K2671" t="s">
        <v>25</v>
      </c>
      <c r="L2671" t="s">
        <v>30</v>
      </c>
      <c r="M2671" t="b">
        <v>1</v>
      </c>
      <c r="N2671" t="s">
        <v>741</v>
      </c>
      <c r="P2671" t="s">
        <v>2809</v>
      </c>
      <c r="Q2671" t="b">
        <v>1</v>
      </c>
      <c r="S2671" t="str">
        <f>"9780310258087"</f>
        <v>9780310258087</v>
      </c>
      <c r="T2671" t="str">
        <f>"9780310411833"</f>
        <v>9780310411833</v>
      </c>
      <c r="U2671" t="b">
        <v>0</v>
      </c>
      <c r="W2671" t="b">
        <v>0</v>
      </c>
    </row>
    <row r="2672" spans="1:23" x14ac:dyDescent="0.3">
      <c r="A2672">
        <v>2979631</v>
      </c>
      <c r="B2672">
        <v>60.37</v>
      </c>
      <c r="C2672" t="s">
        <v>5938</v>
      </c>
      <c r="D2672" t="s">
        <v>5939</v>
      </c>
      <c r="E2672" t="s">
        <v>23</v>
      </c>
      <c r="F2672" t="s">
        <v>44</v>
      </c>
      <c r="G2672">
        <v>2011</v>
      </c>
      <c r="H2672" t="s">
        <v>56</v>
      </c>
      <c r="K2672" t="s">
        <v>25</v>
      </c>
      <c r="L2672" t="s">
        <v>30</v>
      </c>
      <c r="M2672" t="b">
        <v>1</v>
      </c>
      <c r="N2672" t="s">
        <v>5940</v>
      </c>
      <c r="Q2672" t="b">
        <v>0</v>
      </c>
      <c r="T2672" t="str">
        <f>"9780310331681"</f>
        <v>9780310331681</v>
      </c>
      <c r="U2672" t="b">
        <v>0</v>
      </c>
      <c r="W2672" t="b">
        <v>0</v>
      </c>
    </row>
    <row r="2673" spans="1:23" x14ac:dyDescent="0.3">
      <c r="A2673">
        <v>2979630</v>
      </c>
      <c r="B2673">
        <v>27.57</v>
      </c>
      <c r="C2673" t="s">
        <v>5941</v>
      </c>
      <c r="E2673" t="s">
        <v>23</v>
      </c>
      <c r="F2673" t="s">
        <v>44</v>
      </c>
      <c r="G2673">
        <v>2015</v>
      </c>
      <c r="H2673" t="s">
        <v>772</v>
      </c>
      <c r="K2673" t="s">
        <v>25</v>
      </c>
      <c r="L2673" t="s">
        <v>26</v>
      </c>
      <c r="M2673" t="b">
        <v>1</v>
      </c>
      <c r="N2673" t="s">
        <v>776</v>
      </c>
      <c r="P2673" t="s">
        <v>3888</v>
      </c>
      <c r="Q2673" t="b">
        <v>1</v>
      </c>
      <c r="S2673" t="str">
        <f>"9780785217206"</f>
        <v>9780785217206</v>
      </c>
      <c r="T2673" t="str">
        <f>"9780310342731"</f>
        <v>9780310342731</v>
      </c>
      <c r="U2673" t="b">
        <v>0</v>
      </c>
      <c r="W2673" t="b">
        <v>0</v>
      </c>
    </row>
    <row r="2674" spans="1:23" x14ac:dyDescent="0.3">
      <c r="A2674">
        <v>2979629</v>
      </c>
      <c r="B2674">
        <v>51.72</v>
      </c>
      <c r="C2674" t="s">
        <v>5942</v>
      </c>
      <c r="E2674" t="s">
        <v>23</v>
      </c>
      <c r="F2674" t="s">
        <v>44</v>
      </c>
      <c r="G2674">
        <v>2009</v>
      </c>
      <c r="H2674" t="s">
        <v>69</v>
      </c>
      <c r="K2674" t="s">
        <v>25</v>
      </c>
      <c r="L2674" t="s">
        <v>30</v>
      </c>
      <c r="M2674" t="b">
        <v>1</v>
      </c>
      <c r="N2674" t="s">
        <v>5943</v>
      </c>
      <c r="Q2674" t="b">
        <v>0</v>
      </c>
      <c r="S2674" t="str">
        <f>"9780310247326"</f>
        <v>9780310247326</v>
      </c>
      <c r="T2674" t="str">
        <f>"9780310316121"</f>
        <v>9780310316121</v>
      </c>
      <c r="U2674" t="b">
        <v>0</v>
      </c>
      <c r="W2674" t="b">
        <v>0</v>
      </c>
    </row>
    <row r="2675" spans="1:23" x14ac:dyDescent="0.3">
      <c r="A2675">
        <v>2979628</v>
      </c>
      <c r="B2675">
        <v>85.25</v>
      </c>
      <c r="C2675" t="s">
        <v>5944</v>
      </c>
      <c r="D2675" t="s">
        <v>5945</v>
      </c>
      <c r="E2675" t="s">
        <v>23</v>
      </c>
      <c r="F2675" t="s">
        <v>44</v>
      </c>
      <c r="G2675">
        <v>2014</v>
      </c>
      <c r="H2675" t="s">
        <v>728</v>
      </c>
      <c r="K2675" t="s">
        <v>25</v>
      </c>
      <c r="L2675" t="s">
        <v>30</v>
      </c>
      <c r="M2675" t="b">
        <v>1</v>
      </c>
      <c r="N2675" t="s">
        <v>3463</v>
      </c>
      <c r="P2675" t="s">
        <v>3464</v>
      </c>
      <c r="Q2675" t="b">
        <v>1</v>
      </c>
      <c r="T2675" t="str">
        <f>"9780310343776"</f>
        <v>9780310343776</v>
      </c>
      <c r="U2675" t="b">
        <v>0</v>
      </c>
      <c r="W2675" t="b">
        <v>0</v>
      </c>
    </row>
    <row r="2676" spans="1:23" x14ac:dyDescent="0.3">
      <c r="A2676">
        <v>2979627</v>
      </c>
      <c r="B2676">
        <v>27.57</v>
      </c>
      <c r="C2676" t="s">
        <v>5946</v>
      </c>
      <c r="E2676" t="s">
        <v>23</v>
      </c>
      <c r="F2676" t="s">
        <v>44</v>
      </c>
      <c r="G2676">
        <v>2018</v>
      </c>
      <c r="H2676" t="s">
        <v>728</v>
      </c>
      <c r="K2676" t="s">
        <v>25</v>
      </c>
      <c r="L2676" t="s">
        <v>26</v>
      </c>
      <c r="M2676" t="b">
        <v>1</v>
      </c>
      <c r="N2676" t="s">
        <v>773</v>
      </c>
      <c r="P2676" t="s">
        <v>4657</v>
      </c>
      <c r="Q2676" t="b">
        <v>1</v>
      </c>
      <c r="S2676" t="str">
        <f>"9780310360063"</f>
        <v>9780310360063</v>
      </c>
      <c r="T2676" t="str">
        <f>"9780310348108"</f>
        <v>9780310348108</v>
      </c>
      <c r="U2676" t="b">
        <v>0</v>
      </c>
      <c r="W2676" t="b">
        <v>0</v>
      </c>
    </row>
    <row r="2677" spans="1:23" x14ac:dyDescent="0.3">
      <c r="A2677">
        <v>2979626</v>
      </c>
      <c r="B2677">
        <v>46.16</v>
      </c>
      <c r="C2677" t="s">
        <v>5947</v>
      </c>
      <c r="D2677" t="s">
        <v>5948</v>
      </c>
      <c r="E2677" t="s">
        <v>23</v>
      </c>
      <c r="F2677" t="s">
        <v>44</v>
      </c>
      <c r="G2677">
        <v>2018</v>
      </c>
      <c r="H2677" t="s">
        <v>99</v>
      </c>
      <c r="K2677" t="s">
        <v>25</v>
      </c>
      <c r="L2677" t="s">
        <v>26</v>
      </c>
      <c r="M2677" t="b">
        <v>1</v>
      </c>
      <c r="N2677" t="s">
        <v>5949</v>
      </c>
      <c r="Q2677" t="b">
        <v>0</v>
      </c>
      <c r="T2677" t="str">
        <f>"9780310351238"</f>
        <v>9780310351238</v>
      </c>
      <c r="U2677" t="b">
        <v>0</v>
      </c>
      <c r="W2677" t="b">
        <v>0</v>
      </c>
    </row>
    <row r="2678" spans="1:23" x14ac:dyDescent="0.3">
      <c r="A2678">
        <v>2979625</v>
      </c>
      <c r="B2678">
        <v>68.97</v>
      </c>
      <c r="C2678" t="s">
        <v>5950</v>
      </c>
      <c r="D2678" t="s">
        <v>5951</v>
      </c>
      <c r="E2678" t="s">
        <v>23</v>
      </c>
      <c r="F2678" t="s">
        <v>44</v>
      </c>
      <c r="G2678">
        <v>2015</v>
      </c>
      <c r="H2678" t="s">
        <v>5952</v>
      </c>
      <c r="I2678" t="s">
        <v>5953</v>
      </c>
      <c r="J2678" t="s">
        <v>5954</v>
      </c>
      <c r="K2678" t="s">
        <v>25</v>
      </c>
      <c r="L2678" t="s">
        <v>26</v>
      </c>
      <c r="M2678" t="b">
        <v>1</v>
      </c>
      <c r="N2678" t="s">
        <v>2509</v>
      </c>
      <c r="O2678" t="str">
        <f>"158.2"</f>
        <v>158.2</v>
      </c>
      <c r="Q2678" t="b">
        <v>0</v>
      </c>
      <c r="S2678" t="str">
        <f>"9780310342564"</f>
        <v>9780310342564</v>
      </c>
      <c r="T2678" t="str">
        <f>"9780310343806"</f>
        <v>9780310343806</v>
      </c>
      <c r="U2678" t="b">
        <v>0</v>
      </c>
      <c r="W2678" t="b">
        <v>0</v>
      </c>
    </row>
    <row r="2679" spans="1:23" x14ac:dyDescent="0.3">
      <c r="A2679">
        <v>2979624</v>
      </c>
      <c r="B2679">
        <v>58.62</v>
      </c>
      <c r="C2679" t="s">
        <v>5955</v>
      </c>
      <c r="D2679" t="s">
        <v>5956</v>
      </c>
      <c r="E2679" t="s">
        <v>23</v>
      </c>
      <c r="F2679" t="s">
        <v>44</v>
      </c>
      <c r="G2679">
        <v>2013</v>
      </c>
      <c r="H2679" t="s">
        <v>912</v>
      </c>
      <c r="K2679" t="s">
        <v>25</v>
      </c>
      <c r="L2679" t="s">
        <v>30</v>
      </c>
      <c r="M2679" t="b">
        <v>1</v>
      </c>
      <c r="N2679" t="s">
        <v>5957</v>
      </c>
      <c r="Q2679" t="b">
        <v>0</v>
      </c>
      <c r="S2679" t="str">
        <f>"9780310344438"</f>
        <v>9780310344438</v>
      </c>
      <c r="T2679" t="str">
        <f>"9780310314707"</f>
        <v>9780310314707</v>
      </c>
      <c r="U2679" t="b">
        <v>0</v>
      </c>
      <c r="W2679" t="b">
        <v>0</v>
      </c>
    </row>
    <row r="2680" spans="1:23" x14ac:dyDescent="0.3">
      <c r="A2680">
        <v>2979623</v>
      </c>
      <c r="B2680">
        <v>42.61</v>
      </c>
      <c r="C2680" t="s">
        <v>5958</v>
      </c>
      <c r="E2680" t="s">
        <v>23</v>
      </c>
      <c r="F2680" t="s">
        <v>44</v>
      </c>
      <c r="G2680">
        <v>2011</v>
      </c>
      <c r="H2680" t="s">
        <v>66</v>
      </c>
      <c r="K2680" t="s">
        <v>25</v>
      </c>
      <c r="L2680" t="s">
        <v>30</v>
      </c>
      <c r="M2680" t="b">
        <v>1</v>
      </c>
      <c r="N2680" t="s">
        <v>2686</v>
      </c>
      <c r="Q2680" t="b">
        <v>1</v>
      </c>
      <c r="T2680" t="str">
        <f>"9780310865599"</f>
        <v>9780310865599</v>
      </c>
      <c r="U2680" t="b">
        <v>0</v>
      </c>
      <c r="W2680" t="b">
        <v>0</v>
      </c>
    </row>
    <row r="2681" spans="1:23" x14ac:dyDescent="0.3">
      <c r="A2681">
        <v>2979622</v>
      </c>
      <c r="B2681">
        <v>46.16</v>
      </c>
      <c r="C2681" t="s">
        <v>5959</v>
      </c>
      <c r="E2681" t="s">
        <v>23</v>
      </c>
      <c r="F2681" t="s">
        <v>44</v>
      </c>
      <c r="G2681">
        <v>2009</v>
      </c>
      <c r="H2681" t="s">
        <v>2535</v>
      </c>
      <c r="K2681" t="s">
        <v>25</v>
      </c>
      <c r="L2681" t="s">
        <v>30</v>
      </c>
      <c r="M2681" t="b">
        <v>1</v>
      </c>
      <c r="N2681" t="s">
        <v>5960</v>
      </c>
      <c r="Q2681" t="b">
        <v>1</v>
      </c>
      <c r="T2681" t="str">
        <f>"9780310571315"</f>
        <v>9780310571315</v>
      </c>
      <c r="U2681" t="b">
        <v>0</v>
      </c>
      <c r="W2681" t="b">
        <v>0</v>
      </c>
    </row>
    <row r="2682" spans="1:23" x14ac:dyDescent="0.3">
      <c r="A2682">
        <v>2979621</v>
      </c>
      <c r="B2682">
        <v>63.93</v>
      </c>
      <c r="C2682" t="s">
        <v>5961</v>
      </c>
      <c r="D2682" t="s">
        <v>5962</v>
      </c>
      <c r="E2682" t="s">
        <v>23</v>
      </c>
      <c r="F2682" t="s">
        <v>44</v>
      </c>
      <c r="G2682">
        <v>2013</v>
      </c>
      <c r="H2682" t="s">
        <v>1236</v>
      </c>
      <c r="K2682" t="s">
        <v>25</v>
      </c>
      <c r="L2682" t="s">
        <v>30</v>
      </c>
      <c r="M2682" t="b">
        <v>1</v>
      </c>
      <c r="N2682" t="s">
        <v>5963</v>
      </c>
      <c r="Q2682" t="b">
        <v>0</v>
      </c>
      <c r="T2682" t="str">
        <f>"9780310335764"</f>
        <v>9780310335764</v>
      </c>
      <c r="U2682" t="b">
        <v>0</v>
      </c>
      <c r="W2682" t="b">
        <v>0</v>
      </c>
    </row>
    <row r="2683" spans="1:23" x14ac:dyDescent="0.3">
      <c r="A2683">
        <v>2979620</v>
      </c>
      <c r="B2683">
        <v>31.02</v>
      </c>
      <c r="C2683" t="s">
        <v>5964</v>
      </c>
      <c r="D2683" t="s">
        <v>5965</v>
      </c>
      <c r="E2683" t="s">
        <v>23</v>
      </c>
      <c r="F2683" t="s">
        <v>44</v>
      </c>
      <c r="G2683">
        <v>2013</v>
      </c>
      <c r="H2683" t="s">
        <v>2137</v>
      </c>
      <c r="K2683" t="s">
        <v>25</v>
      </c>
      <c r="L2683" t="s">
        <v>30</v>
      </c>
      <c r="M2683" t="b">
        <v>1</v>
      </c>
      <c r="N2683" t="s">
        <v>5966</v>
      </c>
      <c r="Q2683" t="b">
        <v>1</v>
      </c>
      <c r="S2683" t="str">
        <f>"9780310739814"</f>
        <v>9780310739814</v>
      </c>
      <c r="T2683" t="str">
        <f>"9780310739821"</f>
        <v>9780310739821</v>
      </c>
      <c r="U2683" t="b">
        <v>0</v>
      </c>
      <c r="W2683" t="b">
        <v>0</v>
      </c>
    </row>
    <row r="2684" spans="1:23" x14ac:dyDescent="0.3">
      <c r="A2684">
        <v>2979619</v>
      </c>
      <c r="B2684">
        <v>14.18</v>
      </c>
      <c r="C2684" t="s">
        <v>5967</v>
      </c>
      <c r="D2684" t="s">
        <v>5968</v>
      </c>
      <c r="E2684" t="s">
        <v>23</v>
      </c>
      <c r="F2684" t="s">
        <v>44</v>
      </c>
      <c r="G2684">
        <v>2014</v>
      </c>
      <c r="H2684" t="s">
        <v>728</v>
      </c>
      <c r="K2684" t="s">
        <v>25</v>
      </c>
      <c r="L2684" t="s">
        <v>30</v>
      </c>
      <c r="M2684" t="b">
        <v>1</v>
      </c>
      <c r="N2684" t="s">
        <v>5969</v>
      </c>
      <c r="P2684" t="s">
        <v>2785</v>
      </c>
      <c r="Q2684" t="b">
        <v>1</v>
      </c>
      <c r="T2684" t="str">
        <f>"9780310392187"</f>
        <v>9780310392187</v>
      </c>
      <c r="U2684" t="b">
        <v>0</v>
      </c>
      <c r="W2684" t="b">
        <v>0</v>
      </c>
    </row>
    <row r="2685" spans="1:23" x14ac:dyDescent="0.3">
      <c r="A2685">
        <v>2979618</v>
      </c>
      <c r="B2685">
        <v>68.97</v>
      </c>
      <c r="C2685" t="s">
        <v>5970</v>
      </c>
      <c r="D2685" t="s">
        <v>5971</v>
      </c>
      <c r="E2685" t="s">
        <v>23</v>
      </c>
      <c r="F2685" t="s">
        <v>44</v>
      </c>
      <c r="G2685">
        <v>2004</v>
      </c>
      <c r="H2685" t="s">
        <v>736</v>
      </c>
      <c r="I2685" t="s">
        <v>1097</v>
      </c>
      <c r="J2685" t="s">
        <v>5972</v>
      </c>
      <c r="K2685" t="s">
        <v>25</v>
      </c>
      <c r="L2685" t="s">
        <v>30</v>
      </c>
      <c r="M2685" t="b">
        <v>1</v>
      </c>
      <c r="N2685" t="s">
        <v>5973</v>
      </c>
      <c r="O2685" t="str">
        <f>"658.3/02"</f>
        <v>658.3/02</v>
      </c>
      <c r="Q2685" t="b">
        <v>0</v>
      </c>
      <c r="S2685" t="str">
        <f>"9780310250975"</f>
        <v>9780310250975</v>
      </c>
      <c r="T2685" t="str">
        <f>"9780310543121"</f>
        <v>9780310543121</v>
      </c>
      <c r="U2685" t="b">
        <v>0</v>
      </c>
      <c r="W2685" t="b">
        <v>0</v>
      </c>
    </row>
    <row r="2686" spans="1:23" x14ac:dyDescent="0.3">
      <c r="A2686">
        <v>2979617</v>
      </c>
      <c r="B2686">
        <v>46.16</v>
      </c>
      <c r="C2686" t="s">
        <v>5974</v>
      </c>
      <c r="D2686" t="s">
        <v>5975</v>
      </c>
      <c r="E2686" t="s">
        <v>23</v>
      </c>
      <c r="F2686" t="s">
        <v>44</v>
      </c>
      <c r="G2686">
        <v>2012</v>
      </c>
      <c r="H2686" t="s">
        <v>58</v>
      </c>
      <c r="K2686" t="s">
        <v>25</v>
      </c>
      <c r="L2686" t="s">
        <v>30</v>
      </c>
      <c r="M2686" t="b">
        <v>1</v>
      </c>
      <c r="N2686" t="s">
        <v>5976</v>
      </c>
      <c r="Q2686" t="b">
        <v>0</v>
      </c>
      <c r="S2686" t="str">
        <f>"9780310325512"</f>
        <v>9780310325512</v>
      </c>
      <c r="T2686" t="str">
        <f>"9780310587088"</f>
        <v>9780310587088</v>
      </c>
      <c r="U2686" t="b">
        <v>0</v>
      </c>
      <c r="W2686" t="b">
        <v>0</v>
      </c>
    </row>
    <row r="2687" spans="1:23" x14ac:dyDescent="0.3">
      <c r="A2687">
        <v>2979616</v>
      </c>
      <c r="B2687">
        <v>65.52</v>
      </c>
      <c r="C2687" t="s">
        <v>5977</v>
      </c>
      <c r="D2687" t="s">
        <v>5978</v>
      </c>
      <c r="E2687" t="s">
        <v>23</v>
      </c>
      <c r="F2687" t="s">
        <v>44</v>
      </c>
      <c r="G2687">
        <v>2020</v>
      </c>
      <c r="H2687" t="s">
        <v>5979</v>
      </c>
      <c r="K2687" t="s">
        <v>25</v>
      </c>
      <c r="L2687" t="s">
        <v>26</v>
      </c>
      <c r="M2687" t="b">
        <v>1</v>
      </c>
      <c r="N2687" t="s">
        <v>4060</v>
      </c>
      <c r="Q2687" t="b">
        <v>0</v>
      </c>
      <c r="S2687" t="str">
        <f>"9780310363484"</f>
        <v>9780310363484</v>
      </c>
      <c r="T2687" t="str">
        <f>"9780310357544"</f>
        <v>9780310357544</v>
      </c>
      <c r="U2687" t="b">
        <v>0</v>
      </c>
      <c r="W2687" t="b">
        <v>0</v>
      </c>
    </row>
    <row r="2688" spans="1:23" x14ac:dyDescent="0.3">
      <c r="A2688">
        <v>2979615</v>
      </c>
      <c r="B2688">
        <v>63.93</v>
      </c>
      <c r="C2688" t="s">
        <v>5980</v>
      </c>
      <c r="D2688" t="s">
        <v>5981</v>
      </c>
      <c r="E2688" t="s">
        <v>23</v>
      </c>
      <c r="F2688" t="s">
        <v>44</v>
      </c>
      <c r="G2688">
        <v>2015</v>
      </c>
      <c r="H2688" t="s">
        <v>716</v>
      </c>
      <c r="K2688" t="s">
        <v>25</v>
      </c>
      <c r="L2688" t="s">
        <v>30</v>
      </c>
      <c r="M2688" t="b">
        <v>1</v>
      </c>
      <c r="N2688" t="s">
        <v>1908</v>
      </c>
      <c r="Q2688" t="b">
        <v>1</v>
      </c>
      <c r="T2688" t="str">
        <f>"9780310751236"</f>
        <v>9780310751236</v>
      </c>
      <c r="U2688" t="b">
        <v>0</v>
      </c>
      <c r="W2688" t="b">
        <v>0</v>
      </c>
    </row>
    <row r="2689" spans="1:23" x14ac:dyDescent="0.3">
      <c r="A2689">
        <v>2979614</v>
      </c>
      <c r="B2689">
        <v>44.82</v>
      </c>
      <c r="C2689" t="s">
        <v>5982</v>
      </c>
      <c r="E2689" t="s">
        <v>23</v>
      </c>
      <c r="F2689" t="s">
        <v>44</v>
      </c>
      <c r="G2689">
        <v>2009</v>
      </c>
      <c r="H2689" t="s">
        <v>728</v>
      </c>
      <c r="K2689" t="s">
        <v>25</v>
      </c>
      <c r="L2689" t="s">
        <v>30</v>
      </c>
      <c r="M2689" t="b">
        <v>1</v>
      </c>
      <c r="N2689" t="s">
        <v>741</v>
      </c>
      <c r="P2689" t="s">
        <v>2533</v>
      </c>
      <c r="Q2689" t="b">
        <v>1</v>
      </c>
      <c r="S2689" t="str">
        <f>"9780310230830"</f>
        <v>9780310230830</v>
      </c>
      <c r="T2689" t="str">
        <f>"9780310861638"</f>
        <v>9780310861638</v>
      </c>
      <c r="U2689" t="b">
        <v>0</v>
      </c>
      <c r="W2689" t="b">
        <v>0</v>
      </c>
    </row>
    <row r="2690" spans="1:23" x14ac:dyDescent="0.3">
      <c r="A2690">
        <v>2979613</v>
      </c>
      <c r="B2690">
        <v>35.5</v>
      </c>
      <c r="C2690" t="s">
        <v>5983</v>
      </c>
      <c r="E2690" t="s">
        <v>23</v>
      </c>
      <c r="F2690" t="s">
        <v>44</v>
      </c>
      <c r="G2690">
        <v>2013</v>
      </c>
      <c r="H2690" t="s">
        <v>2535</v>
      </c>
      <c r="K2690" t="s">
        <v>25</v>
      </c>
      <c r="L2690" t="s">
        <v>30</v>
      </c>
      <c r="M2690" t="b">
        <v>1</v>
      </c>
      <c r="N2690" t="s">
        <v>3144</v>
      </c>
      <c r="Q2690" t="b">
        <v>1</v>
      </c>
      <c r="T2690" t="str">
        <f>"9780310336822"</f>
        <v>9780310336822</v>
      </c>
      <c r="U2690" t="b">
        <v>0</v>
      </c>
      <c r="W2690" t="b">
        <v>0</v>
      </c>
    </row>
    <row r="2691" spans="1:23" x14ac:dyDescent="0.3">
      <c r="A2691">
        <v>2979612</v>
      </c>
      <c r="B2691">
        <v>44.82</v>
      </c>
      <c r="C2691" t="s">
        <v>5984</v>
      </c>
      <c r="D2691" t="s">
        <v>5985</v>
      </c>
      <c r="E2691" t="s">
        <v>23</v>
      </c>
      <c r="F2691" t="s">
        <v>44</v>
      </c>
      <c r="G2691">
        <v>2011</v>
      </c>
      <c r="H2691" t="s">
        <v>737</v>
      </c>
      <c r="K2691" t="s">
        <v>25</v>
      </c>
      <c r="L2691" t="s">
        <v>30</v>
      </c>
      <c r="M2691" t="b">
        <v>1</v>
      </c>
      <c r="N2691" t="s">
        <v>4151</v>
      </c>
      <c r="Q2691" t="b">
        <v>0</v>
      </c>
      <c r="S2691" t="str">
        <f>"9780310243199"</f>
        <v>9780310243199</v>
      </c>
      <c r="T2691" t="str">
        <f>"9780310863922"</f>
        <v>9780310863922</v>
      </c>
      <c r="U2691" t="b">
        <v>0</v>
      </c>
      <c r="W2691" t="b">
        <v>0</v>
      </c>
    </row>
    <row r="2692" spans="1:23" x14ac:dyDescent="0.3">
      <c r="A2692">
        <v>2979611</v>
      </c>
      <c r="B2692">
        <v>79.319999999999993</v>
      </c>
      <c r="C2692" t="s">
        <v>5986</v>
      </c>
      <c r="D2692" t="s">
        <v>5987</v>
      </c>
      <c r="E2692" t="s">
        <v>23</v>
      </c>
      <c r="F2692" t="s">
        <v>44</v>
      </c>
      <c r="G2692">
        <v>2017</v>
      </c>
      <c r="H2692" t="s">
        <v>132</v>
      </c>
      <c r="K2692" t="s">
        <v>25</v>
      </c>
      <c r="L2692" t="s">
        <v>26</v>
      </c>
      <c r="M2692" t="b">
        <v>1</v>
      </c>
      <c r="N2692" t="s">
        <v>743</v>
      </c>
      <c r="Q2692" t="b">
        <v>0</v>
      </c>
      <c r="S2692" t="str">
        <f>"9780310090670"</f>
        <v>9780310090670</v>
      </c>
      <c r="T2692" t="str">
        <f>"9780310090885"</f>
        <v>9780310090885</v>
      </c>
      <c r="U2692" t="b">
        <v>0</v>
      </c>
      <c r="W2692" t="b">
        <v>0</v>
      </c>
    </row>
    <row r="2693" spans="1:23" x14ac:dyDescent="0.3">
      <c r="A2693">
        <v>2979610</v>
      </c>
      <c r="B2693">
        <v>14.18</v>
      </c>
      <c r="C2693" t="s">
        <v>5988</v>
      </c>
      <c r="E2693" t="s">
        <v>23</v>
      </c>
      <c r="F2693" t="s">
        <v>44</v>
      </c>
      <c r="G2693">
        <v>2014</v>
      </c>
      <c r="H2693" t="s">
        <v>1212</v>
      </c>
      <c r="K2693" t="s">
        <v>25</v>
      </c>
      <c r="L2693" t="s">
        <v>30</v>
      </c>
      <c r="M2693" t="b">
        <v>1</v>
      </c>
      <c r="N2693" t="s">
        <v>5989</v>
      </c>
      <c r="P2693" t="s">
        <v>2785</v>
      </c>
      <c r="Q2693" t="b">
        <v>1</v>
      </c>
      <c r="T2693" t="str">
        <f>"9780310339182"</f>
        <v>9780310339182</v>
      </c>
      <c r="U2693" t="b">
        <v>0</v>
      </c>
      <c r="W2693" t="b">
        <v>0</v>
      </c>
    </row>
    <row r="2694" spans="1:23" x14ac:dyDescent="0.3">
      <c r="A2694">
        <v>2979609</v>
      </c>
      <c r="B2694">
        <v>56.82</v>
      </c>
      <c r="C2694" t="s">
        <v>5990</v>
      </c>
      <c r="D2694" t="s">
        <v>5991</v>
      </c>
      <c r="E2694" t="s">
        <v>23</v>
      </c>
      <c r="F2694" t="s">
        <v>44</v>
      </c>
      <c r="G2694">
        <v>2015</v>
      </c>
      <c r="H2694" t="s">
        <v>531</v>
      </c>
      <c r="K2694" t="s">
        <v>25</v>
      </c>
      <c r="L2694" t="s">
        <v>30</v>
      </c>
      <c r="M2694" t="b">
        <v>1</v>
      </c>
      <c r="N2694" t="s">
        <v>1878</v>
      </c>
      <c r="Q2694" t="b">
        <v>0</v>
      </c>
      <c r="T2694" t="str">
        <f>"9780310751274"</f>
        <v>9780310751274</v>
      </c>
      <c r="U2694" t="b">
        <v>0</v>
      </c>
      <c r="W2694" t="b">
        <v>0</v>
      </c>
    </row>
    <row r="2695" spans="1:23" x14ac:dyDescent="0.3">
      <c r="A2695">
        <v>2979608</v>
      </c>
      <c r="B2695">
        <v>39.049999999999997</v>
      </c>
      <c r="C2695" t="s">
        <v>5992</v>
      </c>
      <c r="D2695" t="s">
        <v>5993</v>
      </c>
      <c r="E2695" t="s">
        <v>23</v>
      </c>
      <c r="F2695" t="s">
        <v>44</v>
      </c>
      <c r="G2695">
        <v>2010</v>
      </c>
      <c r="H2695" t="s">
        <v>66</v>
      </c>
      <c r="K2695" t="s">
        <v>25</v>
      </c>
      <c r="L2695" t="s">
        <v>30</v>
      </c>
      <c r="M2695" t="b">
        <v>1</v>
      </c>
      <c r="N2695" t="s">
        <v>5994</v>
      </c>
      <c r="Q2695" t="b">
        <v>1</v>
      </c>
      <c r="T2695" t="str">
        <f>"9780310834229"</f>
        <v>9780310834229</v>
      </c>
      <c r="U2695" t="b">
        <v>0</v>
      </c>
      <c r="W2695" t="b">
        <v>0</v>
      </c>
    </row>
    <row r="2696" spans="1:23" x14ac:dyDescent="0.3">
      <c r="A2696">
        <v>2979607</v>
      </c>
      <c r="B2696">
        <v>27.57</v>
      </c>
      <c r="C2696" t="s">
        <v>5995</v>
      </c>
      <c r="E2696" t="s">
        <v>23</v>
      </c>
      <c r="F2696" t="s">
        <v>44</v>
      </c>
      <c r="G2696">
        <v>2018</v>
      </c>
      <c r="H2696" t="s">
        <v>772</v>
      </c>
      <c r="K2696" t="s">
        <v>25</v>
      </c>
      <c r="L2696" t="s">
        <v>26</v>
      </c>
      <c r="M2696" t="b">
        <v>1</v>
      </c>
      <c r="N2696" t="s">
        <v>773</v>
      </c>
      <c r="P2696" t="s">
        <v>4657</v>
      </c>
      <c r="Q2696" t="b">
        <v>1</v>
      </c>
      <c r="S2696" t="str">
        <f>"9780310362166"</f>
        <v>9780310362166</v>
      </c>
      <c r="T2696" t="str">
        <f>"9780310348184"</f>
        <v>9780310348184</v>
      </c>
      <c r="U2696" t="b">
        <v>0</v>
      </c>
      <c r="W2696" t="b">
        <v>0</v>
      </c>
    </row>
    <row r="2697" spans="1:23" x14ac:dyDescent="0.3">
      <c r="A2697">
        <v>2979606</v>
      </c>
      <c r="B2697">
        <v>166.98</v>
      </c>
      <c r="C2697" t="s">
        <v>5996</v>
      </c>
      <c r="D2697" t="s">
        <v>5997</v>
      </c>
      <c r="E2697" t="s">
        <v>23</v>
      </c>
      <c r="F2697" t="s">
        <v>44</v>
      </c>
      <c r="G2697">
        <v>2014</v>
      </c>
      <c r="H2697" t="s">
        <v>66</v>
      </c>
      <c r="K2697" t="s">
        <v>25</v>
      </c>
      <c r="L2697" t="s">
        <v>30</v>
      </c>
      <c r="M2697" t="b">
        <v>1</v>
      </c>
      <c r="N2697" t="s">
        <v>77</v>
      </c>
      <c r="P2697" t="s">
        <v>2605</v>
      </c>
      <c r="Q2697" t="b">
        <v>1</v>
      </c>
      <c r="T2697" t="str">
        <f>"9780310342946"</f>
        <v>9780310342946</v>
      </c>
      <c r="U2697" t="b">
        <v>0</v>
      </c>
      <c r="W2697" t="b">
        <v>0</v>
      </c>
    </row>
    <row r="2698" spans="1:23" x14ac:dyDescent="0.3">
      <c r="A2698">
        <v>2979605</v>
      </c>
      <c r="B2698">
        <v>46.16</v>
      </c>
      <c r="C2698" t="s">
        <v>5998</v>
      </c>
      <c r="D2698" t="s">
        <v>5999</v>
      </c>
      <c r="E2698" t="s">
        <v>23</v>
      </c>
      <c r="F2698" t="s">
        <v>44</v>
      </c>
      <c r="G2698">
        <v>2009</v>
      </c>
      <c r="H2698" t="s">
        <v>119</v>
      </c>
      <c r="K2698" t="s">
        <v>25</v>
      </c>
      <c r="L2698" t="s">
        <v>26</v>
      </c>
      <c r="M2698" t="b">
        <v>1</v>
      </c>
      <c r="N2698" t="s">
        <v>6000</v>
      </c>
      <c r="Q2698" t="b">
        <v>0</v>
      </c>
      <c r="T2698" t="str">
        <f>"9780310561958"</f>
        <v>9780310561958</v>
      </c>
      <c r="U2698" t="b">
        <v>0</v>
      </c>
      <c r="W2698" t="b">
        <v>0</v>
      </c>
    </row>
    <row r="2699" spans="1:23" x14ac:dyDescent="0.3">
      <c r="A2699">
        <v>2979604</v>
      </c>
      <c r="B2699">
        <v>42.61</v>
      </c>
      <c r="C2699" t="s">
        <v>6001</v>
      </c>
      <c r="E2699" t="s">
        <v>23</v>
      </c>
      <c r="F2699" t="s">
        <v>44</v>
      </c>
      <c r="G2699">
        <v>2009</v>
      </c>
      <c r="H2699" t="s">
        <v>381</v>
      </c>
      <c r="I2699" t="s">
        <v>6002</v>
      </c>
      <c r="J2699" t="s">
        <v>2822</v>
      </c>
      <c r="K2699" t="s">
        <v>25</v>
      </c>
      <c r="L2699" t="s">
        <v>30</v>
      </c>
      <c r="M2699" t="b">
        <v>1</v>
      </c>
      <c r="N2699" t="s">
        <v>2686</v>
      </c>
      <c r="O2699" t="str">
        <f>"782.281723"</f>
        <v>782.281723</v>
      </c>
      <c r="Q2699" t="b">
        <v>0</v>
      </c>
      <c r="T2699" t="str">
        <f>"9780310863076"</f>
        <v>9780310863076</v>
      </c>
      <c r="U2699" t="b">
        <v>0</v>
      </c>
      <c r="W2699" t="b">
        <v>0</v>
      </c>
    </row>
    <row r="2700" spans="1:23" x14ac:dyDescent="0.3">
      <c r="A2700">
        <v>2979603</v>
      </c>
      <c r="B2700">
        <v>71.03</v>
      </c>
      <c r="C2700" t="s">
        <v>6003</v>
      </c>
      <c r="D2700" t="s">
        <v>6004</v>
      </c>
      <c r="E2700" t="s">
        <v>23</v>
      </c>
      <c r="F2700" t="s">
        <v>44</v>
      </c>
      <c r="G2700">
        <v>2018</v>
      </c>
      <c r="H2700" t="s">
        <v>89</v>
      </c>
      <c r="K2700" t="s">
        <v>25</v>
      </c>
      <c r="L2700" t="s">
        <v>26</v>
      </c>
      <c r="M2700" t="b">
        <v>1</v>
      </c>
      <c r="N2700" t="s">
        <v>4852</v>
      </c>
      <c r="Q2700" t="b">
        <v>0</v>
      </c>
      <c r="S2700" t="str">
        <f>"9780310349747"</f>
        <v>9780310349747</v>
      </c>
      <c r="T2700" t="str">
        <f>"9780310349754"</f>
        <v>9780310349754</v>
      </c>
      <c r="U2700" t="b">
        <v>0</v>
      </c>
      <c r="W2700" t="b">
        <v>0</v>
      </c>
    </row>
    <row r="2701" spans="1:23" x14ac:dyDescent="0.3">
      <c r="A2701">
        <v>2979602</v>
      </c>
      <c r="B2701">
        <v>58.62</v>
      </c>
      <c r="C2701" t="s">
        <v>6005</v>
      </c>
      <c r="D2701" t="s">
        <v>6006</v>
      </c>
      <c r="E2701" t="s">
        <v>23</v>
      </c>
      <c r="F2701" t="s">
        <v>44</v>
      </c>
      <c r="G2701">
        <v>2021</v>
      </c>
      <c r="H2701" t="s">
        <v>121</v>
      </c>
      <c r="K2701" t="s">
        <v>25</v>
      </c>
      <c r="L2701" t="s">
        <v>26</v>
      </c>
      <c r="M2701" t="b">
        <v>1</v>
      </c>
      <c r="N2701" t="s">
        <v>5478</v>
      </c>
      <c r="Q2701" t="b">
        <v>0</v>
      </c>
      <c r="S2701" t="str">
        <f>"9780310454632"</f>
        <v>9780310454632</v>
      </c>
      <c r="T2701" t="str">
        <f>"9780310454694"</f>
        <v>9780310454694</v>
      </c>
      <c r="U2701" t="b">
        <v>0</v>
      </c>
      <c r="W2701" t="b">
        <v>0</v>
      </c>
    </row>
    <row r="2702" spans="1:23" x14ac:dyDescent="0.3">
      <c r="A2702">
        <v>2979601</v>
      </c>
      <c r="B2702">
        <v>65.52</v>
      </c>
      <c r="C2702" t="s">
        <v>6007</v>
      </c>
      <c r="D2702" t="s">
        <v>6008</v>
      </c>
      <c r="E2702" t="s">
        <v>23</v>
      </c>
      <c r="F2702" t="s">
        <v>44</v>
      </c>
      <c r="G2702">
        <v>2012</v>
      </c>
      <c r="H2702" t="s">
        <v>132</v>
      </c>
      <c r="K2702" t="s">
        <v>25</v>
      </c>
      <c r="L2702" t="s">
        <v>30</v>
      </c>
      <c r="M2702" t="b">
        <v>1</v>
      </c>
      <c r="N2702" t="s">
        <v>419</v>
      </c>
      <c r="Q2702" t="b">
        <v>0</v>
      </c>
      <c r="S2702" t="str">
        <f>"9780310327127"</f>
        <v>9780310327127</v>
      </c>
      <c r="T2702" t="str">
        <f>"9780310327509"</f>
        <v>9780310327509</v>
      </c>
      <c r="U2702" t="b">
        <v>0</v>
      </c>
      <c r="W2702" t="b">
        <v>0</v>
      </c>
    </row>
    <row r="2703" spans="1:23" x14ac:dyDescent="0.3">
      <c r="A2703">
        <v>2979600</v>
      </c>
      <c r="B2703">
        <v>55.17</v>
      </c>
      <c r="C2703" t="s">
        <v>6009</v>
      </c>
      <c r="D2703" t="s">
        <v>5769</v>
      </c>
      <c r="E2703" t="s">
        <v>23</v>
      </c>
      <c r="F2703" t="s">
        <v>44</v>
      </c>
      <c r="G2703">
        <v>2014</v>
      </c>
      <c r="H2703" t="s">
        <v>55</v>
      </c>
      <c r="K2703" t="s">
        <v>25</v>
      </c>
      <c r="L2703" t="s">
        <v>30</v>
      </c>
      <c r="M2703" t="b">
        <v>1</v>
      </c>
      <c r="N2703" t="s">
        <v>2759</v>
      </c>
      <c r="Q2703" t="b">
        <v>0</v>
      </c>
      <c r="S2703" t="str">
        <f>"9780310320098"</f>
        <v>9780310320098</v>
      </c>
      <c r="T2703" t="str">
        <f>"9780310320845"</f>
        <v>9780310320845</v>
      </c>
      <c r="U2703" t="b">
        <v>0</v>
      </c>
      <c r="W2703" t="b">
        <v>0</v>
      </c>
    </row>
    <row r="2704" spans="1:23" x14ac:dyDescent="0.3">
      <c r="A2704">
        <v>2979599</v>
      </c>
      <c r="B2704">
        <v>56.82</v>
      </c>
      <c r="C2704" t="s">
        <v>6010</v>
      </c>
      <c r="D2704" t="s">
        <v>6011</v>
      </c>
      <c r="E2704" t="s">
        <v>23</v>
      </c>
      <c r="F2704" t="s">
        <v>44</v>
      </c>
      <c r="G2704">
        <v>2015</v>
      </c>
      <c r="H2704" t="s">
        <v>6012</v>
      </c>
      <c r="K2704" t="s">
        <v>25</v>
      </c>
      <c r="L2704" t="s">
        <v>30</v>
      </c>
      <c r="M2704" t="b">
        <v>1</v>
      </c>
      <c r="N2704" t="s">
        <v>6013</v>
      </c>
      <c r="P2704" t="s">
        <v>6014</v>
      </c>
      <c r="Q2704" t="b">
        <v>0</v>
      </c>
      <c r="T2704" t="str">
        <f>"9780310751373"</f>
        <v>9780310751373</v>
      </c>
      <c r="U2704" t="b">
        <v>0</v>
      </c>
      <c r="W2704" t="b">
        <v>0</v>
      </c>
    </row>
    <row r="2705" spans="1:23" x14ac:dyDescent="0.3">
      <c r="A2705">
        <v>2979598</v>
      </c>
      <c r="B2705">
        <v>42.61</v>
      </c>
      <c r="C2705" t="s">
        <v>2887</v>
      </c>
      <c r="D2705" t="s">
        <v>2888</v>
      </c>
      <c r="E2705" t="s">
        <v>23</v>
      </c>
      <c r="F2705" t="s">
        <v>44</v>
      </c>
      <c r="G2705">
        <v>2013</v>
      </c>
      <c r="H2705" t="s">
        <v>132</v>
      </c>
      <c r="K2705" t="s">
        <v>25</v>
      </c>
      <c r="L2705" t="s">
        <v>30</v>
      </c>
      <c r="M2705" t="b">
        <v>1</v>
      </c>
      <c r="N2705" t="s">
        <v>131</v>
      </c>
      <c r="Q2705" t="b">
        <v>0</v>
      </c>
      <c r="T2705" t="str">
        <f>"9780310328100"</f>
        <v>9780310328100</v>
      </c>
      <c r="U2705" t="b">
        <v>0</v>
      </c>
      <c r="W2705" t="b">
        <v>0</v>
      </c>
    </row>
    <row r="2706" spans="1:23" x14ac:dyDescent="0.3">
      <c r="A2706">
        <v>2979597</v>
      </c>
      <c r="B2706">
        <v>89.67</v>
      </c>
      <c r="C2706" t="s">
        <v>6015</v>
      </c>
      <c r="D2706" t="s">
        <v>5756</v>
      </c>
      <c r="E2706" t="s">
        <v>23</v>
      </c>
      <c r="F2706" t="s">
        <v>44</v>
      </c>
      <c r="G2706">
        <v>2020</v>
      </c>
      <c r="H2706" t="s">
        <v>58</v>
      </c>
      <c r="K2706" t="s">
        <v>25</v>
      </c>
      <c r="L2706" t="s">
        <v>26</v>
      </c>
      <c r="M2706" t="b">
        <v>1</v>
      </c>
      <c r="N2706" t="s">
        <v>5757</v>
      </c>
      <c r="Q2706" t="b">
        <v>0</v>
      </c>
      <c r="S2706" t="str">
        <f>"9780310358480"</f>
        <v>9780310358480</v>
      </c>
      <c r="T2706" t="str">
        <f>"9780310358497"</f>
        <v>9780310358497</v>
      </c>
      <c r="U2706" t="b">
        <v>0</v>
      </c>
      <c r="W2706" t="b">
        <v>0</v>
      </c>
    </row>
    <row r="2707" spans="1:23" x14ac:dyDescent="0.3">
      <c r="A2707">
        <v>2979596</v>
      </c>
      <c r="B2707">
        <v>58.62</v>
      </c>
      <c r="C2707" t="s">
        <v>6016</v>
      </c>
      <c r="D2707" t="s">
        <v>6017</v>
      </c>
      <c r="E2707" t="s">
        <v>23</v>
      </c>
      <c r="F2707" t="s">
        <v>44</v>
      </c>
      <c r="G2707">
        <v>2017</v>
      </c>
      <c r="H2707" t="s">
        <v>99</v>
      </c>
      <c r="K2707" t="s">
        <v>25</v>
      </c>
      <c r="L2707" t="s">
        <v>26</v>
      </c>
      <c r="M2707" t="b">
        <v>1</v>
      </c>
      <c r="N2707" t="s">
        <v>6018</v>
      </c>
      <c r="Q2707" t="b">
        <v>0</v>
      </c>
      <c r="S2707" t="str">
        <f>"9780310349334"</f>
        <v>9780310349334</v>
      </c>
      <c r="T2707" t="str">
        <f>"9780310349341"</f>
        <v>9780310349341</v>
      </c>
      <c r="U2707" t="b">
        <v>0</v>
      </c>
      <c r="W2707" t="b">
        <v>0</v>
      </c>
    </row>
    <row r="2708" spans="1:23" x14ac:dyDescent="0.3">
      <c r="A2708">
        <v>2979595</v>
      </c>
      <c r="B2708">
        <v>27.57</v>
      </c>
      <c r="C2708" t="s">
        <v>6019</v>
      </c>
      <c r="E2708" t="s">
        <v>23</v>
      </c>
      <c r="F2708" t="s">
        <v>44</v>
      </c>
      <c r="G2708">
        <v>2015</v>
      </c>
      <c r="H2708" t="s">
        <v>728</v>
      </c>
      <c r="K2708" t="s">
        <v>25</v>
      </c>
      <c r="L2708" t="s">
        <v>26</v>
      </c>
      <c r="M2708" t="b">
        <v>1</v>
      </c>
      <c r="N2708" t="s">
        <v>773</v>
      </c>
      <c r="P2708" t="s">
        <v>3982</v>
      </c>
      <c r="Q2708" t="b">
        <v>1</v>
      </c>
      <c r="S2708" t="str">
        <f>"9780310354499"</f>
        <v>9780310354499</v>
      </c>
      <c r="T2708" t="str">
        <f>"9780310339663"</f>
        <v>9780310339663</v>
      </c>
      <c r="U2708" t="b">
        <v>0</v>
      </c>
      <c r="W2708" t="b">
        <v>0</v>
      </c>
    </row>
    <row r="2709" spans="1:23" x14ac:dyDescent="0.3">
      <c r="A2709">
        <v>2979594</v>
      </c>
      <c r="B2709">
        <v>34.47</v>
      </c>
      <c r="C2709" t="s">
        <v>6020</v>
      </c>
      <c r="E2709" t="s">
        <v>23</v>
      </c>
      <c r="F2709" t="s">
        <v>44</v>
      </c>
      <c r="G2709">
        <v>2019</v>
      </c>
      <c r="H2709" t="s">
        <v>772</v>
      </c>
      <c r="K2709" t="s">
        <v>25</v>
      </c>
      <c r="L2709" t="s">
        <v>26</v>
      </c>
      <c r="M2709" t="b">
        <v>1</v>
      </c>
      <c r="N2709" t="s">
        <v>773</v>
      </c>
      <c r="P2709" t="s">
        <v>4663</v>
      </c>
      <c r="Q2709" t="b">
        <v>1</v>
      </c>
      <c r="S2709" t="str">
        <f>"9780310365631"</f>
        <v>9780310365631</v>
      </c>
      <c r="T2709" t="str">
        <f>"9780310356714"</f>
        <v>9780310356714</v>
      </c>
      <c r="U2709" t="b">
        <v>0</v>
      </c>
      <c r="W2709" t="b">
        <v>0</v>
      </c>
    </row>
    <row r="2710" spans="1:23" x14ac:dyDescent="0.3">
      <c r="A2710">
        <v>2979593</v>
      </c>
      <c r="B2710">
        <v>58.62</v>
      </c>
      <c r="C2710" t="s">
        <v>6021</v>
      </c>
      <c r="D2710" t="s">
        <v>6022</v>
      </c>
      <c r="E2710" t="s">
        <v>23</v>
      </c>
      <c r="F2710" t="s">
        <v>44</v>
      </c>
      <c r="G2710">
        <v>2018</v>
      </c>
      <c r="H2710" t="s">
        <v>4258</v>
      </c>
      <c r="K2710" t="s">
        <v>25</v>
      </c>
      <c r="L2710" t="s">
        <v>26</v>
      </c>
      <c r="M2710" t="b">
        <v>1</v>
      </c>
      <c r="N2710" t="s">
        <v>6023</v>
      </c>
      <c r="Q2710" t="b">
        <v>0</v>
      </c>
      <c r="S2710" t="str">
        <f>"9780310350439"</f>
        <v>9780310350439</v>
      </c>
      <c r="T2710" t="str">
        <f>"9780310350446"</f>
        <v>9780310350446</v>
      </c>
      <c r="U2710" t="b">
        <v>0</v>
      </c>
      <c r="W2710" t="b">
        <v>0</v>
      </c>
    </row>
    <row r="2711" spans="1:23" x14ac:dyDescent="0.3">
      <c r="A2711">
        <v>2979592</v>
      </c>
      <c r="B2711">
        <v>120.72</v>
      </c>
      <c r="C2711" t="s">
        <v>6024</v>
      </c>
      <c r="D2711" t="s">
        <v>6025</v>
      </c>
      <c r="E2711" t="s">
        <v>23</v>
      </c>
      <c r="F2711" t="s">
        <v>44</v>
      </c>
      <c r="G2711">
        <v>2021</v>
      </c>
      <c r="H2711" t="s">
        <v>751</v>
      </c>
      <c r="K2711" t="s">
        <v>25</v>
      </c>
      <c r="L2711" t="s">
        <v>26</v>
      </c>
      <c r="M2711" t="b">
        <v>1</v>
      </c>
      <c r="N2711" t="s">
        <v>6026</v>
      </c>
      <c r="P2711" t="s">
        <v>5851</v>
      </c>
      <c r="Q2711" t="b">
        <v>0</v>
      </c>
      <c r="S2711" t="str">
        <f>"9780310534174"</f>
        <v>9780310534174</v>
      </c>
      <c r="T2711" t="str">
        <f>"9780310537748"</f>
        <v>9780310537748</v>
      </c>
      <c r="U2711" t="b">
        <v>0</v>
      </c>
      <c r="W2711" t="b">
        <v>0</v>
      </c>
    </row>
    <row r="2712" spans="1:23" x14ac:dyDescent="0.3">
      <c r="A2712">
        <v>2979591</v>
      </c>
      <c r="B2712">
        <v>58.62</v>
      </c>
      <c r="C2712" t="s">
        <v>6027</v>
      </c>
      <c r="D2712" t="s">
        <v>6028</v>
      </c>
      <c r="E2712" t="s">
        <v>23</v>
      </c>
      <c r="F2712" t="s">
        <v>44</v>
      </c>
      <c r="G2712">
        <v>2018</v>
      </c>
      <c r="H2712" t="s">
        <v>58</v>
      </c>
      <c r="K2712" t="s">
        <v>25</v>
      </c>
      <c r="L2712" t="s">
        <v>26</v>
      </c>
      <c r="M2712" t="b">
        <v>1</v>
      </c>
      <c r="N2712" t="s">
        <v>6029</v>
      </c>
      <c r="Q2712" t="b">
        <v>0</v>
      </c>
      <c r="S2712" t="str">
        <f>"9780310351719"</f>
        <v>9780310351719</v>
      </c>
      <c r="T2712" t="str">
        <f>"9780310352709"</f>
        <v>9780310352709</v>
      </c>
      <c r="U2712" t="b">
        <v>0</v>
      </c>
      <c r="W2712" t="b">
        <v>0</v>
      </c>
    </row>
    <row r="2713" spans="1:23" x14ac:dyDescent="0.3">
      <c r="A2713">
        <v>2979590</v>
      </c>
      <c r="B2713">
        <v>51.72</v>
      </c>
      <c r="C2713" t="s">
        <v>6030</v>
      </c>
      <c r="D2713" t="s">
        <v>6031</v>
      </c>
      <c r="E2713" t="s">
        <v>23</v>
      </c>
      <c r="F2713" t="s">
        <v>44</v>
      </c>
      <c r="G2713">
        <v>2012</v>
      </c>
      <c r="H2713" t="s">
        <v>58</v>
      </c>
      <c r="K2713" t="s">
        <v>25</v>
      </c>
      <c r="L2713" t="s">
        <v>30</v>
      </c>
      <c r="M2713" t="b">
        <v>1</v>
      </c>
      <c r="N2713" t="s">
        <v>5666</v>
      </c>
      <c r="Q2713" t="b">
        <v>0</v>
      </c>
      <c r="S2713" t="str">
        <f>"9780310327691"</f>
        <v>9780310327691</v>
      </c>
      <c r="T2713" t="str">
        <f>"9780310555322"</f>
        <v>9780310555322</v>
      </c>
      <c r="U2713" t="b">
        <v>0</v>
      </c>
      <c r="W2713" t="b">
        <v>0</v>
      </c>
    </row>
    <row r="2714" spans="1:23" x14ac:dyDescent="0.3">
      <c r="A2714">
        <v>2979589</v>
      </c>
      <c r="B2714">
        <v>34.47</v>
      </c>
      <c r="C2714" t="s">
        <v>6032</v>
      </c>
      <c r="E2714" t="s">
        <v>23</v>
      </c>
      <c r="F2714" t="s">
        <v>44</v>
      </c>
      <c r="G2714">
        <v>2017</v>
      </c>
      <c r="H2714" t="s">
        <v>24</v>
      </c>
      <c r="K2714" t="s">
        <v>25</v>
      </c>
      <c r="L2714" t="s">
        <v>30</v>
      </c>
      <c r="M2714" t="b">
        <v>1</v>
      </c>
      <c r="N2714" t="s">
        <v>1270</v>
      </c>
      <c r="P2714" t="s">
        <v>6033</v>
      </c>
      <c r="Q2714" t="b">
        <v>0</v>
      </c>
      <c r="S2714" t="str">
        <f>"9780310925507"</f>
        <v>9780310925507</v>
      </c>
      <c r="T2714" t="str">
        <f>"9780310089773"</f>
        <v>9780310089773</v>
      </c>
      <c r="U2714" t="b">
        <v>0</v>
      </c>
      <c r="W2714" t="b">
        <v>0</v>
      </c>
    </row>
    <row r="2715" spans="1:23" x14ac:dyDescent="0.3">
      <c r="A2715">
        <v>2979588</v>
      </c>
      <c r="B2715">
        <v>24.84</v>
      </c>
      <c r="C2715" t="s">
        <v>6034</v>
      </c>
      <c r="D2715" t="s">
        <v>6035</v>
      </c>
      <c r="E2715" t="s">
        <v>23</v>
      </c>
      <c r="F2715" t="s">
        <v>44</v>
      </c>
      <c r="G2715">
        <v>2009</v>
      </c>
      <c r="H2715" t="s">
        <v>2702</v>
      </c>
      <c r="K2715" t="s">
        <v>25</v>
      </c>
      <c r="L2715" t="s">
        <v>30</v>
      </c>
      <c r="M2715" t="b">
        <v>1</v>
      </c>
      <c r="N2715" t="s">
        <v>4965</v>
      </c>
      <c r="Q2715" t="b">
        <v>0</v>
      </c>
      <c r="T2715" t="str">
        <f>"9780310565734"</f>
        <v>9780310565734</v>
      </c>
      <c r="U2715" t="b">
        <v>0</v>
      </c>
      <c r="W2715" t="b">
        <v>0</v>
      </c>
    </row>
    <row r="2716" spans="1:23" x14ac:dyDescent="0.3">
      <c r="A2716">
        <v>2979587</v>
      </c>
      <c r="B2716">
        <v>10.32</v>
      </c>
      <c r="C2716" t="s">
        <v>6036</v>
      </c>
      <c r="D2716" t="s">
        <v>6037</v>
      </c>
      <c r="E2716" t="s">
        <v>23</v>
      </c>
      <c r="F2716" t="s">
        <v>44</v>
      </c>
      <c r="G2716">
        <v>2014</v>
      </c>
      <c r="H2716" t="s">
        <v>58</v>
      </c>
      <c r="K2716" t="s">
        <v>25</v>
      </c>
      <c r="L2716" t="s">
        <v>30</v>
      </c>
      <c r="M2716" t="b">
        <v>1</v>
      </c>
      <c r="N2716" t="s">
        <v>2616</v>
      </c>
      <c r="Q2716" t="b">
        <v>0</v>
      </c>
      <c r="S2716" t="str">
        <f>"9780310341451"</f>
        <v>9780310341451</v>
      </c>
      <c r="T2716" t="str">
        <f>"9780310341536"</f>
        <v>9780310341536</v>
      </c>
      <c r="U2716" t="b">
        <v>0</v>
      </c>
      <c r="W2716" t="b">
        <v>0</v>
      </c>
    </row>
    <row r="2717" spans="1:23" x14ac:dyDescent="0.3">
      <c r="A2717">
        <v>2979586</v>
      </c>
      <c r="B2717">
        <v>42.61</v>
      </c>
      <c r="C2717" t="s">
        <v>6038</v>
      </c>
      <c r="D2717" t="s">
        <v>6039</v>
      </c>
      <c r="E2717" t="s">
        <v>23</v>
      </c>
      <c r="F2717" t="s">
        <v>44</v>
      </c>
      <c r="G2717">
        <v>2013</v>
      </c>
      <c r="H2717" t="s">
        <v>69</v>
      </c>
      <c r="K2717" t="s">
        <v>25</v>
      </c>
      <c r="L2717" t="s">
        <v>30</v>
      </c>
      <c r="M2717" t="b">
        <v>1</v>
      </c>
      <c r="N2717" t="s">
        <v>6040</v>
      </c>
      <c r="Q2717" t="b">
        <v>0</v>
      </c>
      <c r="T2717" t="str">
        <f>"9780310313618"</f>
        <v>9780310313618</v>
      </c>
      <c r="U2717" t="b">
        <v>0</v>
      </c>
      <c r="W2717" t="b">
        <v>0</v>
      </c>
    </row>
    <row r="2718" spans="1:23" x14ac:dyDescent="0.3">
      <c r="A2718">
        <v>2979585</v>
      </c>
      <c r="B2718">
        <v>55.17</v>
      </c>
      <c r="C2718" t="s">
        <v>6041</v>
      </c>
      <c r="D2718" t="s">
        <v>6042</v>
      </c>
      <c r="E2718" t="s">
        <v>23</v>
      </c>
      <c r="F2718" t="s">
        <v>44</v>
      </c>
      <c r="G2718">
        <v>2019</v>
      </c>
      <c r="H2718" t="s">
        <v>834</v>
      </c>
      <c r="K2718" t="s">
        <v>25</v>
      </c>
      <c r="L2718" t="s">
        <v>26</v>
      </c>
      <c r="M2718" t="b">
        <v>1</v>
      </c>
      <c r="N2718" t="s">
        <v>6043</v>
      </c>
      <c r="Q2718" t="b">
        <v>0</v>
      </c>
      <c r="S2718" t="str">
        <f>"9780310767268"</f>
        <v>9780310767268</v>
      </c>
      <c r="T2718" t="str">
        <f>"9780310767305"</f>
        <v>9780310767305</v>
      </c>
      <c r="U2718" t="b">
        <v>0</v>
      </c>
      <c r="W2718" t="b">
        <v>0</v>
      </c>
    </row>
    <row r="2719" spans="1:23" x14ac:dyDescent="0.3">
      <c r="A2719">
        <v>2979584</v>
      </c>
      <c r="B2719">
        <v>44.82</v>
      </c>
      <c r="C2719" t="s">
        <v>6044</v>
      </c>
      <c r="E2719" t="s">
        <v>23</v>
      </c>
      <c r="F2719" t="s">
        <v>44</v>
      </c>
      <c r="G2719">
        <v>2017</v>
      </c>
      <c r="H2719" t="s">
        <v>132</v>
      </c>
      <c r="K2719" t="s">
        <v>25</v>
      </c>
      <c r="L2719" t="s">
        <v>26</v>
      </c>
      <c r="M2719" t="b">
        <v>1</v>
      </c>
      <c r="N2719" t="s">
        <v>6045</v>
      </c>
      <c r="Q2719" t="b">
        <v>0</v>
      </c>
      <c r="S2719" t="str">
        <f>"9780310359494"</f>
        <v>9780310359494</v>
      </c>
      <c r="T2719" t="str">
        <f>"9780310357506"</f>
        <v>9780310357506</v>
      </c>
      <c r="U2719" t="b">
        <v>0</v>
      </c>
      <c r="W2719" t="b">
        <v>0</v>
      </c>
    </row>
    <row r="2720" spans="1:23" x14ac:dyDescent="0.3">
      <c r="A2720">
        <v>2979583</v>
      </c>
      <c r="B2720">
        <v>56.82</v>
      </c>
      <c r="C2720" t="s">
        <v>6046</v>
      </c>
      <c r="D2720" t="s">
        <v>6047</v>
      </c>
      <c r="E2720" t="s">
        <v>23</v>
      </c>
      <c r="F2720" t="s">
        <v>44</v>
      </c>
      <c r="G2720">
        <v>2009</v>
      </c>
      <c r="H2720" t="s">
        <v>58</v>
      </c>
      <c r="K2720" t="s">
        <v>25</v>
      </c>
      <c r="L2720" t="s">
        <v>30</v>
      </c>
      <c r="M2720" t="b">
        <v>1</v>
      </c>
      <c r="N2720" t="s">
        <v>6048</v>
      </c>
      <c r="Q2720" t="b">
        <v>0</v>
      </c>
      <c r="T2720" t="str">
        <f>"9780310395485"</f>
        <v>9780310395485</v>
      </c>
      <c r="U2720" t="b">
        <v>0</v>
      </c>
      <c r="W2720" t="b">
        <v>0</v>
      </c>
    </row>
    <row r="2721" spans="1:23" x14ac:dyDescent="0.3">
      <c r="A2721">
        <v>2979582</v>
      </c>
      <c r="B2721">
        <v>55.17</v>
      </c>
      <c r="C2721" t="s">
        <v>6049</v>
      </c>
      <c r="E2721" t="s">
        <v>23</v>
      </c>
      <c r="F2721" t="s">
        <v>44</v>
      </c>
      <c r="G2721">
        <v>2009</v>
      </c>
      <c r="H2721" t="s">
        <v>66</v>
      </c>
      <c r="K2721" t="s">
        <v>25</v>
      </c>
      <c r="L2721" t="s">
        <v>30</v>
      </c>
      <c r="M2721" t="b">
        <v>1</v>
      </c>
      <c r="N2721" t="s">
        <v>2865</v>
      </c>
      <c r="P2721" t="s">
        <v>2866</v>
      </c>
      <c r="Q2721" t="b">
        <v>1</v>
      </c>
      <c r="S2721" t="str">
        <f>"9780310272137"</f>
        <v>9780310272137</v>
      </c>
      <c r="T2721" t="str">
        <f>"9780310858324"</f>
        <v>9780310858324</v>
      </c>
      <c r="U2721" t="b">
        <v>0</v>
      </c>
      <c r="W2721" t="b">
        <v>0</v>
      </c>
    </row>
    <row r="2722" spans="1:23" x14ac:dyDescent="0.3">
      <c r="A2722">
        <v>2979581</v>
      </c>
      <c r="B2722">
        <v>68.97</v>
      </c>
      <c r="C2722" t="s">
        <v>6050</v>
      </c>
      <c r="D2722" t="s">
        <v>6051</v>
      </c>
      <c r="E2722" t="s">
        <v>23</v>
      </c>
      <c r="F2722" t="s">
        <v>44</v>
      </c>
      <c r="G2722">
        <v>2019</v>
      </c>
      <c r="H2722" t="s">
        <v>71</v>
      </c>
      <c r="K2722" t="s">
        <v>25</v>
      </c>
      <c r="L2722" t="s">
        <v>26</v>
      </c>
      <c r="M2722" t="b">
        <v>1</v>
      </c>
      <c r="N2722" t="s">
        <v>6052</v>
      </c>
      <c r="Q2722" t="b">
        <v>0</v>
      </c>
      <c r="S2722" t="str">
        <f>"9780310278429"</f>
        <v>9780310278429</v>
      </c>
      <c r="T2722" t="str">
        <f>"9780310359395"</f>
        <v>9780310359395</v>
      </c>
      <c r="U2722" t="b">
        <v>0</v>
      </c>
      <c r="W2722" t="b">
        <v>0</v>
      </c>
    </row>
    <row r="2723" spans="1:23" x14ac:dyDescent="0.3">
      <c r="A2723">
        <v>2979580</v>
      </c>
      <c r="B2723">
        <v>55.17</v>
      </c>
      <c r="C2723" t="s">
        <v>6053</v>
      </c>
      <c r="D2723" t="s">
        <v>6054</v>
      </c>
      <c r="E2723" t="s">
        <v>23</v>
      </c>
      <c r="F2723" t="s">
        <v>44</v>
      </c>
      <c r="G2723">
        <v>2013</v>
      </c>
      <c r="H2723" t="s">
        <v>24</v>
      </c>
      <c r="K2723" t="s">
        <v>25</v>
      </c>
      <c r="L2723" t="s">
        <v>30</v>
      </c>
      <c r="M2723" t="b">
        <v>1</v>
      </c>
      <c r="N2723" t="s">
        <v>4171</v>
      </c>
      <c r="Q2723" t="b">
        <v>0</v>
      </c>
      <c r="S2723" t="str">
        <f>"9780310338772"</f>
        <v>9780310338772</v>
      </c>
      <c r="T2723" t="str">
        <f>"9780310338789"</f>
        <v>9780310338789</v>
      </c>
      <c r="U2723" t="b">
        <v>0</v>
      </c>
      <c r="W2723" t="b">
        <v>0</v>
      </c>
    </row>
    <row r="2724" spans="1:23" x14ac:dyDescent="0.3">
      <c r="A2724">
        <v>2979579</v>
      </c>
      <c r="B2724">
        <v>55.17</v>
      </c>
      <c r="C2724" t="s">
        <v>6055</v>
      </c>
      <c r="D2724" t="s">
        <v>6056</v>
      </c>
      <c r="E2724" t="s">
        <v>23</v>
      </c>
      <c r="F2724" t="s">
        <v>44</v>
      </c>
      <c r="G2724">
        <v>2018</v>
      </c>
      <c r="H2724" t="s">
        <v>728</v>
      </c>
      <c r="K2724" t="s">
        <v>25</v>
      </c>
      <c r="L2724" t="s">
        <v>26</v>
      </c>
      <c r="M2724" t="b">
        <v>1</v>
      </c>
      <c r="N2724" t="s">
        <v>2827</v>
      </c>
      <c r="Q2724" t="b">
        <v>1</v>
      </c>
      <c r="S2724" t="str">
        <f>"9780310351887"</f>
        <v>9780310351887</v>
      </c>
      <c r="T2724" t="str">
        <f>"9780310351870"</f>
        <v>9780310351870</v>
      </c>
      <c r="U2724" t="b">
        <v>0</v>
      </c>
      <c r="W2724" t="b">
        <v>0</v>
      </c>
    </row>
    <row r="2725" spans="1:23" x14ac:dyDescent="0.3">
      <c r="A2725">
        <v>2979578</v>
      </c>
      <c r="B2725">
        <v>65.52</v>
      </c>
      <c r="C2725" t="s">
        <v>6057</v>
      </c>
      <c r="D2725" t="s">
        <v>6058</v>
      </c>
      <c r="E2725" t="s">
        <v>23</v>
      </c>
      <c r="F2725" t="s">
        <v>44</v>
      </c>
      <c r="G2725">
        <v>2009</v>
      </c>
      <c r="H2725" t="s">
        <v>99</v>
      </c>
      <c r="K2725" t="s">
        <v>25</v>
      </c>
      <c r="L2725" t="s">
        <v>30</v>
      </c>
      <c r="M2725" t="b">
        <v>1</v>
      </c>
      <c r="N2725" t="s">
        <v>6059</v>
      </c>
      <c r="Q2725" t="b">
        <v>0</v>
      </c>
      <c r="S2725" t="str">
        <f>"9780310293064"</f>
        <v>9780310293064</v>
      </c>
      <c r="T2725" t="str">
        <f>"9780310563280"</f>
        <v>9780310563280</v>
      </c>
      <c r="U2725" t="b">
        <v>0</v>
      </c>
      <c r="W2725" t="b">
        <v>0</v>
      </c>
    </row>
    <row r="2726" spans="1:23" x14ac:dyDescent="0.3">
      <c r="A2726">
        <v>2979577</v>
      </c>
      <c r="B2726">
        <v>44.82</v>
      </c>
      <c r="C2726" t="s">
        <v>6060</v>
      </c>
      <c r="D2726" t="s">
        <v>1405</v>
      </c>
      <c r="E2726" t="s">
        <v>23</v>
      </c>
      <c r="F2726" t="s">
        <v>44</v>
      </c>
      <c r="G2726">
        <v>2011</v>
      </c>
      <c r="H2726" t="s">
        <v>74</v>
      </c>
      <c r="K2726" t="s">
        <v>25</v>
      </c>
      <c r="L2726" t="s">
        <v>30</v>
      </c>
      <c r="M2726" t="b">
        <v>1</v>
      </c>
      <c r="N2726" t="s">
        <v>6061</v>
      </c>
      <c r="Q2726" t="b">
        <v>1</v>
      </c>
      <c r="S2726" t="str">
        <f>"9780310289470"</f>
        <v>9780310289470</v>
      </c>
      <c r="T2726" t="str">
        <f>"9780310413424"</f>
        <v>9780310413424</v>
      </c>
      <c r="U2726" t="b">
        <v>0</v>
      </c>
      <c r="W2726" t="b">
        <v>0</v>
      </c>
    </row>
    <row r="2727" spans="1:23" x14ac:dyDescent="0.3">
      <c r="A2727">
        <v>2979576</v>
      </c>
      <c r="B2727">
        <v>60.37</v>
      </c>
      <c r="C2727" t="s">
        <v>6062</v>
      </c>
      <c r="E2727" t="s">
        <v>23</v>
      </c>
      <c r="F2727" t="s">
        <v>44</v>
      </c>
      <c r="G2727">
        <v>2010</v>
      </c>
      <c r="H2727" t="s">
        <v>2535</v>
      </c>
      <c r="K2727" t="s">
        <v>25</v>
      </c>
      <c r="L2727" t="s">
        <v>30</v>
      </c>
      <c r="M2727" t="b">
        <v>1</v>
      </c>
      <c r="N2727" t="s">
        <v>2726</v>
      </c>
      <c r="Q2727" t="b">
        <v>1</v>
      </c>
      <c r="S2727" t="str">
        <f>"9780310243021"</f>
        <v>9780310243021</v>
      </c>
      <c r="T2727" t="str">
        <f>"9780310872092"</f>
        <v>9780310872092</v>
      </c>
      <c r="U2727" t="b">
        <v>0</v>
      </c>
      <c r="W2727" t="b">
        <v>0</v>
      </c>
    </row>
    <row r="2728" spans="1:23" x14ac:dyDescent="0.3">
      <c r="A2728">
        <v>2979575</v>
      </c>
      <c r="B2728">
        <v>85.25</v>
      </c>
      <c r="C2728" t="s">
        <v>6063</v>
      </c>
      <c r="D2728" t="s">
        <v>6064</v>
      </c>
      <c r="E2728" t="s">
        <v>23</v>
      </c>
      <c r="F2728" t="s">
        <v>44</v>
      </c>
      <c r="G2728">
        <v>2009</v>
      </c>
      <c r="H2728" t="s">
        <v>56</v>
      </c>
      <c r="I2728" t="s">
        <v>6065</v>
      </c>
      <c r="J2728" t="s">
        <v>6066</v>
      </c>
      <c r="K2728" t="s">
        <v>25</v>
      </c>
      <c r="L2728" t="s">
        <v>30</v>
      </c>
      <c r="M2728" t="b">
        <v>1</v>
      </c>
      <c r="N2728" t="s">
        <v>3315</v>
      </c>
      <c r="O2728" t="str">
        <f>"362.7/083"</f>
        <v>362.7/083</v>
      </c>
      <c r="Q2728" t="b">
        <v>0</v>
      </c>
      <c r="S2728" t="str">
        <f>"9780310234074"</f>
        <v>9780310234074</v>
      </c>
      <c r="T2728" t="str">
        <f>"9780310862420"</f>
        <v>9780310862420</v>
      </c>
      <c r="U2728" t="b">
        <v>0</v>
      </c>
      <c r="W2728" t="b">
        <v>0</v>
      </c>
    </row>
    <row r="2729" spans="1:23" x14ac:dyDescent="0.3">
      <c r="A2729">
        <v>2979574</v>
      </c>
      <c r="B2729">
        <v>49.71</v>
      </c>
      <c r="C2729" t="s">
        <v>6067</v>
      </c>
      <c r="E2729" t="s">
        <v>23</v>
      </c>
      <c r="F2729" t="s">
        <v>44</v>
      </c>
      <c r="G2729">
        <v>2009</v>
      </c>
      <c r="H2729" t="s">
        <v>141</v>
      </c>
      <c r="K2729" t="s">
        <v>25</v>
      </c>
      <c r="L2729" t="s">
        <v>30</v>
      </c>
      <c r="M2729" t="b">
        <v>1</v>
      </c>
      <c r="N2729" t="s">
        <v>3348</v>
      </c>
      <c r="Q2729" t="b">
        <v>0</v>
      </c>
      <c r="T2729" t="str">
        <f>"9780310863014"</f>
        <v>9780310863014</v>
      </c>
      <c r="U2729" t="b">
        <v>0</v>
      </c>
      <c r="W2729" t="b">
        <v>0</v>
      </c>
    </row>
    <row r="2730" spans="1:23" x14ac:dyDescent="0.3">
      <c r="A2730">
        <v>2979573</v>
      </c>
      <c r="B2730">
        <v>14.18</v>
      </c>
      <c r="C2730" t="s">
        <v>6068</v>
      </c>
      <c r="E2730" t="s">
        <v>23</v>
      </c>
      <c r="F2730" t="s">
        <v>44</v>
      </c>
      <c r="G2730">
        <v>2014</v>
      </c>
      <c r="H2730" t="s">
        <v>1212</v>
      </c>
      <c r="K2730" t="s">
        <v>25</v>
      </c>
      <c r="L2730" t="s">
        <v>30</v>
      </c>
      <c r="M2730" t="b">
        <v>1</v>
      </c>
      <c r="N2730" t="s">
        <v>4257</v>
      </c>
      <c r="P2730" t="s">
        <v>2785</v>
      </c>
      <c r="Q2730" t="b">
        <v>1</v>
      </c>
      <c r="T2730" t="str">
        <f>"9780310339083"</f>
        <v>9780310339083</v>
      </c>
      <c r="U2730" t="b">
        <v>0</v>
      </c>
      <c r="W2730" t="b">
        <v>0</v>
      </c>
    </row>
    <row r="2731" spans="1:23" x14ac:dyDescent="0.3">
      <c r="A2731">
        <v>2979572</v>
      </c>
      <c r="B2731">
        <v>55.17</v>
      </c>
      <c r="C2731" t="s">
        <v>6069</v>
      </c>
      <c r="D2731" t="s">
        <v>6070</v>
      </c>
      <c r="E2731" t="s">
        <v>23</v>
      </c>
      <c r="F2731" t="s">
        <v>44</v>
      </c>
      <c r="G2731">
        <v>2010</v>
      </c>
      <c r="H2731" t="s">
        <v>119</v>
      </c>
      <c r="K2731" t="s">
        <v>25</v>
      </c>
      <c r="L2731" t="s">
        <v>30</v>
      </c>
      <c r="M2731" t="b">
        <v>1</v>
      </c>
      <c r="N2731" t="s">
        <v>2778</v>
      </c>
      <c r="Q2731" t="b">
        <v>0</v>
      </c>
      <c r="S2731" t="str">
        <f>"9780310238355"</f>
        <v>9780310238355</v>
      </c>
      <c r="T2731" t="str">
        <f>"9780310874188"</f>
        <v>9780310874188</v>
      </c>
      <c r="U2731" t="b">
        <v>0</v>
      </c>
      <c r="W2731" t="b">
        <v>0</v>
      </c>
    </row>
    <row r="2732" spans="1:23" x14ac:dyDescent="0.3">
      <c r="A2732">
        <v>2979571</v>
      </c>
      <c r="B2732">
        <v>53.27</v>
      </c>
      <c r="C2732" t="s">
        <v>6071</v>
      </c>
      <c r="D2732" t="s">
        <v>6072</v>
      </c>
      <c r="E2732" t="s">
        <v>23</v>
      </c>
      <c r="F2732" t="s">
        <v>44</v>
      </c>
      <c r="G2732">
        <v>2012</v>
      </c>
      <c r="H2732" t="s">
        <v>58</v>
      </c>
      <c r="K2732" t="s">
        <v>25</v>
      </c>
      <c r="L2732" t="s">
        <v>30</v>
      </c>
      <c r="M2732" t="b">
        <v>1</v>
      </c>
      <c r="N2732" t="s">
        <v>6073</v>
      </c>
      <c r="Q2732" t="b">
        <v>0</v>
      </c>
      <c r="T2732" t="str">
        <f>"9780310412205"</f>
        <v>9780310412205</v>
      </c>
      <c r="U2732" t="b">
        <v>0</v>
      </c>
      <c r="W2732" t="b">
        <v>0</v>
      </c>
    </row>
    <row r="2733" spans="1:23" x14ac:dyDescent="0.3">
      <c r="A2733">
        <v>2979570</v>
      </c>
      <c r="B2733">
        <v>34.47</v>
      </c>
      <c r="C2733" t="s">
        <v>6074</v>
      </c>
      <c r="E2733" t="s">
        <v>23</v>
      </c>
      <c r="F2733" t="s">
        <v>44</v>
      </c>
      <c r="G2733">
        <v>2009</v>
      </c>
      <c r="H2733" t="s">
        <v>3147</v>
      </c>
      <c r="K2733" t="s">
        <v>25</v>
      </c>
      <c r="L2733" t="s">
        <v>30</v>
      </c>
      <c r="M2733" t="b">
        <v>1</v>
      </c>
      <c r="N2733" t="s">
        <v>3148</v>
      </c>
      <c r="P2733" t="s">
        <v>3149</v>
      </c>
      <c r="Q2733" t="b">
        <v>0</v>
      </c>
      <c r="S2733" t="str">
        <f>"9780310715580"</f>
        <v>9780310715580</v>
      </c>
      <c r="T2733" t="str">
        <f>"9780310856641"</f>
        <v>9780310856641</v>
      </c>
      <c r="U2733" t="b">
        <v>0</v>
      </c>
      <c r="W2733" t="b">
        <v>0</v>
      </c>
    </row>
    <row r="2734" spans="1:23" x14ac:dyDescent="0.3">
      <c r="A2734">
        <v>2979569</v>
      </c>
      <c r="B2734">
        <v>34.47</v>
      </c>
      <c r="C2734" t="s">
        <v>5916</v>
      </c>
      <c r="D2734" t="s">
        <v>5917</v>
      </c>
      <c r="E2734" t="s">
        <v>23</v>
      </c>
      <c r="F2734" t="s">
        <v>44</v>
      </c>
      <c r="G2734">
        <v>2012</v>
      </c>
      <c r="H2734" t="s">
        <v>5918</v>
      </c>
      <c r="K2734" t="s">
        <v>25</v>
      </c>
      <c r="L2734" t="s">
        <v>30</v>
      </c>
      <c r="M2734" t="b">
        <v>1</v>
      </c>
      <c r="N2734" t="s">
        <v>5919</v>
      </c>
      <c r="Q2734" t="b">
        <v>0</v>
      </c>
      <c r="S2734" t="str">
        <f>"9780310726098"</f>
        <v>9780310726098</v>
      </c>
      <c r="T2734" t="str">
        <f>"9780310726104"</f>
        <v>9780310726104</v>
      </c>
      <c r="U2734" t="b">
        <v>0</v>
      </c>
      <c r="W2734" t="b">
        <v>0</v>
      </c>
    </row>
    <row r="2735" spans="1:23" x14ac:dyDescent="0.3">
      <c r="A2735">
        <v>2979568</v>
      </c>
      <c r="B2735">
        <v>86.22</v>
      </c>
      <c r="C2735" t="s">
        <v>6075</v>
      </c>
      <c r="D2735" t="s">
        <v>3212</v>
      </c>
      <c r="E2735" t="s">
        <v>23</v>
      </c>
      <c r="F2735" t="s">
        <v>44</v>
      </c>
      <c r="G2735">
        <v>2021</v>
      </c>
      <c r="H2735" t="s">
        <v>107</v>
      </c>
      <c r="I2735" t="s">
        <v>6076</v>
      </c>
      <c r="J2735" t="s">
        <v>6077</v>
      </c>
      <c r="K2735" t="s">
        <v>25</v>
      </c>
      <c r="L2735" t="s">
        <v>26</v>
      </c>
      <c r="M2735" t="b">
        <v>1</v>
      </c>
      <c r="N2735" t="s">
        <v>1198</v>
      </c>
      <c r="O2735" t="str">
        <f>"305.8"</f>
        <v>305.8</v>
      </c>
      <c r="Q2735" t="b">
        <v>0</v>
      </c>
      <c r="S2735" t="str">
        <f>"9780310104773"</f>
        <v>9780310104773</v>
      </c>
      <c r="T2735" t="str">
        <f>"9780310104780"</f>
        <v>9780310104780</v>
      </c>
      <c r="U2735" t="b">
        <v>0</v>
      </c>
      <c r="W2735" t="b">
        <v>0</v>
      </c>
    </row>
    <row r="2736" spans="1:23" x14ac:dyDescent="0.3">
      <c r="A2736">
        <v>2979567</v>
      </c>
      <c r="B2736">
        <v>34.47</v>
      </c>
      <c r="C2736" t="s">
        <v>6078</v>
      </c>
      <c r="E2736" t="s">
        <v>23</v>
      </c>
      <c r="F2736" t="s">
        <v>44</v>
      </c>
      <c r="G2736">
        <v>2021</v>
      </c>
      <c r="H2736" t="s">
        <v>772</v>
      </c>
      <c r="K2736" t="s">
        <v>25</v>
      </c>
      <c r="L2736" t="s">
        <v>26</v>
      </c>
      <c r="M2736" t="b">
        <v>1</v>
      </c>
      <c r="N2736" t="s">
        <v>776</v>
      </c>
      <c r="P2736" t="s">
        <v>1065</v>
      </c>
      <c r="Q2736" t="b">
        <v>1</v>
      </c>
      <c r="S2736" t="str">
        <f>"9780310356547"</f>
        <v>9780310356547</v>
      </c>
      <c r="T2736" t="str">
        <f>"9780310356530"</f>
        <v>9780310356530</v>
      </c>
      <c r="U2736" t="b">
        <v>0</v>
      </c>
      <c r="W2736" t="b">
        <v>0</v>
      </c>
    </row>
    <row r="2737" spans="1:23" x14ac:dyDescent="0.3">
      <c r="A2737">
        <v>2979566</v>
      </c>
      <c r="B2737">
        <v>42.61</v>
      </c>
      <c r="C2737" t="s">
        <v>6079</v>
      </c>
      <c r="D2737" t="s">
        <v>1405</v>
      </c>
      <c r="E2737" t="s">
        <v>23</v>
      </c>
      <c r="F2737" t="s">
        <v>44</v>
      </c>
      <c r="G2737">
        <v>2011</v>
      </c>
      <c r="H2737" t="s">
        <v>74</v>
      </c>
      <c r="K2737" t="s">
        <v>25</v>
      </c>
      <c r="L2737" t="s">
        <v>30</v>
      </c>
      <c r="M2737" t="b">
        <v>1</v>
      </c>
      <c r="N2737" t="s">
        <v>3240</v>
      </c>
      <c r="Q2737" t="b">
        <v>1</v>
      </c>
      <c r="T2737" t="str">
        <f>"9780310322771"</f>
        <v>9780310322771</v>
      </c>
      <c r="U2737" t="b">
        <v>0</v>
      </c>
      <c r="W2737" t="b">
        <v>0</v>
      </c>
    </row>
    <row r="2738" spans="1:23" x14ac:dyDescent="0.3">
      <c r="A2738">
        <v>2979565</v>
      </c>
      <c r="B2738">
        <v>58.62</v>
      </c>
      <c r="C2738" t="s">
        <v>6080</v>
      </c>
      <c r="D2738" t="s">
        <v>6081</v>
      </c>
      <c r="E2738" t="s">
        <v>23</v>
      </c>
      <c r="F2738" t="s">
        <v>44</v>
      </c>
      <c r="G2738">
        <v>2017</v>
      </c>
      <c r="H2738" t="s">
        <v>58</v>
      </c>
      <c r="K2738" t="s">
        <v>25</v>
      </c>
      <c r="L2738" t="s">
        <v>26</v>
      </c>
      <c r="M2738" t="b">
        <v>1</v>
      </c>
      <c r="N2738" t="s">
        <v>3979</v>
      </c>
      <c r="Q2738" t="b">
        <v>0</v>
      </c>
      <c r="S2738" t="str">
        <f>"9780310351900"</f>
        <v>9780310351900</v>
      </c>
      <c r="T2738" t="str">
        <f>"9780310352525"</f>
        <v>9780310352525</v>
      </c>
      <c r="U2738" t="b">
        <v>0</v>
      </c>
      <c r="W2738" t="b">
        <v>0</v>
      </c>
    </row>
    <row r="2739" spans="1:23" x14ac:dyDescent="0.3">
      <c r="A2739">
        <v>2979564</v>
      </c>
      <c r="B2739">
        <v>58.62</v>
      </c>
      <c r="C2739" t="s">
        <v>6082</v>
      </c>
      <c r="D2739" t="s">
        <v>6083</v>
      </c>
      <c r="E2739" t="s">
        <v>23</v>
      </c>
      <c r="F2739" t="s">
        <v>44</v>
      </c>
      <c r="G2739">
        <v>2017</v>
      </c>
      <c r="H2739" t="s">
        <v>6084</v>
      </c>
      <c r="K2739" t="s">
        <v>25</v>
      </c>
      <c r="L2739" t="s">
        <v>26</v>
      </c>
      <c r="M2739" t="b">
        <v>1</v>
      </c>
      <c r="N2739" t="s">
        <v>6043</v>
      </c>
      <c r="Q2739" t="b">
        <v>0</v>
      </c>
      <c r="S2739" t="str">
        <f>"9780310762362"</f>
        <v>9780310762362</v>
      </c>
      <c r="T2739" t="str">
        <f>"9780310762416"</f>
        <v>9780310762416</v>
      </c>
      <c r="U2739" t="b">
        <v>0</v>
      </c>
      <c r="W2739" t="b">
        <v>0</v>
      </c>
    </row>
    <row r="2740" spans="1:23" x14ac:dyDescent="0.3">
      <c r="A2740">
        <v>2979563</v>
      </c>
      <c r="B2740">
        <v>51.72</v>
      </c>
      <c r="C2740" t="s">
        <v>6085</v>
      </c>
      <c r="D2740" t="s">
        <v>6086</v>
      </c>
      <c r="E2740" t="s">
        <v>23</v>
      </c>
      <c r="F2740" t="s">
        <v>44</v>
      </c>
      <c r="G2740">
        <v>2019</v>
      </c>
      <c r="H2740" t="s">
        <v>58</v>
      </c>
      <c r="K2740" t="s">
        <v>25</v>
      </c>
      <c r="L2740" t="s">
        <v>26</v>
      </c>
      <c r="M2740" t="b">
        <v>1</v>
      </c>
      <c r="N2740" t="s">
        <v>44</v>
      </c>
      <c r="Q2740" t="b">
        <v>0</v>
      </c>
      <c r="S2740" t="str">
        <f>"9780310453826"</f>
        <v>9780310453826</v>
      </c>
      <c r="T2740" t="str">
        <f>"9780310453833"</f>
        <v>9780310453833</v>
      </c>
      <c r="U2740" t="b">
        <v>0</v>
      </c>
      <c r="W2740" t="b">
        <v>0</v>
      </c>
    </row>
    <row r="2741" spans="1:23" x14ac:dyDescent="0.3">
      <c r="A2741">
        <v>2979562</v>
      </c>
      <c r="B2741">
        <v>55.17</v>
      </c>
      <c r="C2741" t="s">
        <v>6087</v>
      </c>
      <c r="E2741" t="s">
        <v>23</v>
      </c>
      <c r="F2741" t="s">
        <v>44</v>
      </c>
      <c r="G2741">
        <v>2018</v>
      </c>
      <c r="H2741" t="s">
        <v>849</v>
      </c>
      <c r="K2741" t="s">
        <v>25</v>
      </c>
      <c r="L2741" t="s">
        <v>26</v>
      </c>
      <c r="M2741" t="b">
        <v>1</v>
      </c>
      <c r="N2741" t="s">
        <v>77</v>
      </c>
      <c r="P2741" t="s">
        <v>4041</v>
      </c>
      <c r="Q2741" t="b">
        <v>1</v>
      </c>
      <c r="S2741" t="str">
        <f>"9780310332541"</f>
        <v>9780310332541</v>
      </c>
      <c r="T2741" t="str">
        <f>"9780310332572"</f>
        <v>9780310332572</v>
      </c>
      <c r="U2741" t="b">
        <v>0</v>
      </c>
      <c r="W2741" t="b">
        <v>0</v>
      </c>
    </row>
    <row r="2742" spans="1:23" x14ac:dyDescent="0.3">
      <c r="A2742">
        <v>2979561</v>
      </c>
      <c r="B2742">
        <v>99.46</v>
      </c>
      <c r="C2742" t="s">
        <v>6088</v>
      </c>
      <c r="E2742" t="s">
        <v>23</v>
      </c>
      <c r="F2742" t="s">
        <v>44</v>
      </c>
      <c r="G2742">
        <v>2014</v>
      </c>
      <c r="H2742" t="s">
        <v>728</v>
      </c>
      <c r="K2742" t="s">
        <v>25</v>
      </c>
      <c r="L2742" t="s">
        <v>30</v>
      </c>
      <c r="M2742" t="b">
        <v>1</v>
      </c>
      <c r="N2742" t="s">
        <v>962</v>
      </c>
      <c r="P2742" t="s">
        <v>4269</v>
      </c>
      <c r="Q2742" t="b">
        <v>1</v>
      </c>
      <c r="T2742" t="str">
        <f>"9780310342984"</f>
        <v>9780310342984</v>
      </c>
      <c r="U2742" t="b">
        <v>0</v>
      </c>
      <c r="W2742" t="b">
        <v>0</v>
      </c>
    </row>
    <row r="2743" spans="1:23" x14ac:dyDescent="0.3">
      <c r="A2743">
        <v>2979560</v>
      </c>
      <c r="B2743">
        <v>49.71</v>
      </c>
      <c r="C2743" t="s">
        <v>6089</v>
      </c>
      <c r="E2743" t="s">
        <v>23</v>
      </c>
      <c r="F2743" t="s">
        <v>44</v>
      </c>
      <c r="G2743">
        <v>2009</v>
      </c>
      <c r="H2743" t="s">
        <v>68</v>
      </c>
      <c r="K2743" t="s">
        <v>25</v>
      </c>
      <c r="L2743" t="s">
        <v>30</v>
      </c>
      <c r="M2743" t="b">
        <v>1</v>
      </c>
      <c r="N2743" t="s">
        <v>44</v>
      </c>
      <c r="Q2743" t="b">
        <v>0</v>
      </c>
      <c r="T2743" t="str">
        <f>"9780310861799"</f>
        <v>9780310861799</v>
      </c>
      <c r="U2743" t="b">
        <v>0</v>
      </c>
      <c r="W2743" t="b">
        <v>0</v>
      </c>
    </row>
    <row r="2744" spans="1:23" x14ac:dyDescent="0.3">
      <c r="A2744">
        <v>2979559</v>
      </c>
      <c r="B2744">
        <v>44.82</v>
      </c>
      <c r="C2744" t="s">
        <v>6090</v>
      </c>
      <c r="E2744" t="s">
        <v>23</v>
      </c>
      <c r="F2744" t="s">
        <v>44</v>
      </c>
      <c r="G2744">
        <v>2015</v>
      </c>
      <c r="H2744" t="s">
        <v>3986</v>
      </c>
      <c r="K2744" t="s">
        <v>25</v>
      </c>
      <c r="L2744" t="s">
        <v>30</v>
      </c>
      <c r="M2744" t="b">
        <v>1</v>
      </c>
      <c r="N2744" t="s">
        <v>2609</v>
      </c>
      <c r="Q2744" t="b">
        <v>1</v>
      </c>
      <c r="S2744" t="str">
        <f>"9780310749196"</f>
        <v>9780310749196</v>
      </c>
      <c r="T2744" t="str">
        <f>"9780310749486"</f>
        <v>9780310749486</v>
      </c>
      <c r="U2744" t="b">
        <v>0</v>
      </c>
      <c r="W2744" t="b">
        <v>0</v>
      </c>
    </row>
    <row r="2745" spans="1:23" x14ac:dyDescent="0.3">
      <c r="A2745">
        <v>2979558</v>
      </c>
      <c r="B2745">
        <v>42.61</v>
      </c>
      <c r="C2745" t="s">
        <v>6091</v>
      </c>
      <c r="D2745" t="s">
        <v>6092</v>
      </c>
      <c r="E2745" t="s">
        <v>23</v>
      </c>
      <c r="F2745" t="s">
        <v>44</v>
      </c>
      <c r="G2745">
        <v>2009</v>
      </c>
      <c r="H2745" t="s">
        <v>24</v>
      </c>
      <c r="I2745" t="s">
        <v>6093</v>
      </c>
      <c r="J2745" t="s">
        <v>6094</v>
      </c>
      <c r="K2745" t="s">
        <v>25</v>
      </c>
      <c r="L2745" t="s">
        <v>30</v>
      </c>
      <c r="M2745" t="b">
        <v>1</v>
      </c>
      <c r="N2745" t="s">
        <v>5231</v>
      </c>
      <c r="O2745" t="str">
        <f>"248.2"</f>
        <v>248.2</v>
      </c>
      <c r="Q2745" t="b">
        <v>0</v>
      </c>
      <c r="T2745" t="str">
        <f>"9780310864790"</f>
        <v>9780310864790</v>
      </c>
      <c r="U2745" t="b">
        <v>0</v>
      </c>
      <c r="V2745" t="s">
        <v>6095</v>
      </c>
      <c r="W2745" t="b">
        <v>0</v>
      </c>
    </row>
    <row r="2746" spans="1:23" x14ac:dyDescent="0.3">
      <c r="A2746">
        <v>2979557</v>
      </c>
      <c r="B2746">
        <v>34.47</v>
      </c>
      <c r="C2746" t="s">
        <v>6096</v>
      </c>
      <c r="E2746" t="s">
        <v>23</v>
      </c>
      <c r="F2746" t="s">
        <v>44</v>
      </c>
      <c r="G2746">
        <v>2009</v>
      </c>
      <c r="H2746" t="s">
        <v>168</v>
      </c>
      <c r="K2746" t="s">
        <v>25</v>
      </c>
      <c r="L2746" t="s">
        <v>30</v>
      </c>
      <c r="M2746" t="b">
        <v>1</v>
      </c>
      <c r="N2746" t="s">
        <v>3076</v>
      </c>
      <c r="P2746" t="s">
        <v>3077</v>
      </c>
      <c r="Q2746" t="b">
        <v>0</v>
      </c>
      <c r="S2746" t="str">
        <f>"9780310278825"</f>
        <v>9780310278825</v>
      </c>
      <c r="T2746" t="str">
        <f>"9780310863175"</f>
        <v>9780310863175</v>
      </c>
      <c r="U2746" t="b">
        <v>0</v>
      </c>
      <c r="W2746" t="b">
        <v>0</v>
      </c>
    </row>
    <row r="2747" spans="1:23" x14ac:dyDescent="0.3">
      <c r="A2747">
        <v>2979556</v>
      </c>
      <c r="B2747">
        <v>65.52</v>
      </c>
      <c r="C2747" t="s">
        <v>6097</v>
      </c>
      <c r="D2747" t="s">
        <v>6098</v>
      </c>
      <c r="E2747" t="s">
        <v>23</v>
      </c>
      <c r="F2747" t="s">
        <v>44</v>
      </c>
      <c r="G2747">
        <v>2019</v>
      </c>
      <c r="H2747" t="s">
        <v>737</v>
      </c>
      <c r="K2747" t="s">
        <v>25</v>
      </c>
      <c r="L2747" t="s">
        <v>26</v>
      </c>
      <c r="M2747" t="b">
        <v>1</v>
      </c>
      <c r="N2747" t="s">
        <v>4151</v>
      </c>
      <c r="Q2747" t="b">
        <v>0</v>
      </c>
      <c r="S2747" t="str">
        <f>"9780310361534"</f>
        <v>9780310361534</v>
      </c>
      <c r="T2747" t="str">
        <f>"9780310356097"</f>
        <v>9780310356097</v>
      </c>
      <c r="U2747" t="b">
        <v>0</v>
      </c>
      <c r="W2747" t="b">
        <v>0</v>
      </c>
    </row>
    <row r="2748" spans="1:23" x14ac:dyDescent="0.3">
      <c r="A2748">
        <v>2979555</v>
      </c>
      <c r="B2748">
        <v>74.59</v>
      </c>
      <c r="C2748" t="s">
        <v>6099</v>
      </c>
      <c r="D2748" t="s">
        <v>6100</v>
      </c>
      <c r="E2748" t="s">
        <v>23</v>
      </c>
      <c r="F2748" t="s">
        <v>44</v>
      </c>
      <c r="G2748">
        <v>2016</v>
      </c>
      <c r="H2748" t="s">
        <v>3418</v>
      </c>
      <c r="K2748" t="s">
        <v>25</v>
      </c>
      <c r="L2748" t="s">
        <v>30</v>
      </c>
      <c r="M2748" t="b">
        <v>1</v>
      </c>
      <c r="N2748" t="s">
        <v>1417</v>
      </c>
      <c r="Q2748" t="b">
        <v>0</v>
      </c>
      <c r="T2748" t="str">
        <f>"9780310752523"</f>
        <v>9780310752523</v>
      </c>
      <c r="U2748" t="b">
        <v>0</v>
      </c>
      <c r="W2748" t="b">
        <v>0</v>
      </c>
    </row>
    <row r="2749" spans="1:23" x14ac:dyDescent="0.3">
      <c r="A2749">
        <v>2979554</v>
      </c>
      <c r="B2749">
        <v>58.62</v>
      </c>
      <c r="C2749" t="s">
        <v>6101</v>
      </c>
      <c r="D2749" t="s">
        <v>6102</v>
      </c>
      <c r="E2749" t="s">
        <v>23</v>
      </c>
      <c r="F2749" t="s">
        <v>44</v>
      </c>
      <c r="G2749">
        <v>2018</v>
      </c>
      <c r="H2749" t="s">
        <v>69</v>
      </c>
      <c r="K2749" t="s">
        <v>25</v>
      </c>
      <c r="L2749" t="s">
        <v>26</v>
      </c>
      <c r="M2749" t="b">
        <v>1</v>
      </c>
      <c r="N2749" t="s">
        <v>2641</v>
      </c>
      <c r="Q2749" t="b">
        <v>0</v>
      </c>
      <c r="S2749" t="str">
        <f>"9780310341888"</f>
        <v>9780310341888</v>
      </c>
      <c r="T2749" t="str">
        <f>"9780310341901"</f>
        <v>9780310341901</v>
      </c>
      <c r="U2749" t="b">
        <v>0</v>
      </c>
      <c r="W2749" t="b">
        <v>0</v>
      </c>
    </row>
    <row r="2750" spans="1:23" x14ac:dyDescent="0.3">
      <c r="A2750">
        <v>2979553</v>
      </c>
      <c r="B2750">
        <v>62.07</v>
      </c>
      <c r="C2750" t="s">
        <v>6103</v>
      </c>
      <c r="D2750" t="s">
        <v>6104</v>
      </c>
      <c r="E2750" t="s">
        <v>23</v>
      </c>
      <c r="F2750" t="s">
        <v>44</v>
      </c>
      <c r="G2750">
        <v>2020</v>
      </c>
      <c r="H2750" t="s">
        <v>58</v>
      </c>
      <c r="K2750" t="s">
        <v>25</v>
      </c>
      <c r="L2750" t="s">
        <v>26</v>
      </c>
      <c r="M2750" t="b">
        <v>1</v>
      </c>
      <c r="N2750" t="s">
        <v>3533</v>
      </c>
      <c r="Q2750" t="b">
        <v>0</v>
      </c>
      <c r="S2750" t="str">
        <f>"9780310353966"</f>
        <v>9780310353966</v>
      </c>
      <c r="T2750" t="str">
        <f>"9780310353980"</f>
        <v>9780310353980</v>
      </c>
      <c r="U2750" t="b">
        <v>0</v>
      </c>
      <c r="W2750" t="b">
        <v>0</v>
      </c>
    </row>
    <row r="2751" spans="1:23" x14ac:dyDescent="0.3">
      <c r="A2751">
        <v>2979552</v>
      </c>
      <c r="B2751">
        <v>96.57</v>
      </c>
      <c r="C2751" t="s">
        <v>6105</v>
      </c>
      <c r="D2751" t="s">
        <v>6106</v>
      </c>
      <c r="E2751" t="s">
        <v>23</v>
      </c>
      <c r="F2751" t="s">
        <v>44</v>
      </c>
      <c r="G2751">
        <v>2021</v>
      </c>
      <c r="H2751" t="s">
        <v>70</v>
      </c>
      <c r="I2751" t="s">
        <v>6107</v>
      </c>
      <c r="J2751" t="s">
        <v>6108</v>
      </c>
      <c r="K2751" t="s">
        <v>25</v>
      </c>
      <c r="L2751" t="s">
        <v>26</v>
      </c>
      <c r="M2751" t="b">
        <v>1</v>
      </c>
      <c r="N2751" t="s">
        <v>6109</v>
      </c>
      <c r="O2751" t="str">
        <f>"239/.9"</f>
        <v>239/.9</v>
      </c>
      <c r="Q2751" t="b">
        <v>0</v>
      </c>
      <c r="S2751" t="str">
        <f>"9780310100942"</f>
        <v>9780310100942</v>
      </c>
      <c r="T2751" t="str">
        <f>"9780310100959"</f>
        <v>9780310100959</v>
      </c>
      <c r="U2751" t="b">
        <v>0</v>
      </c>
      <c r="W2751" t="b">
        <v>0</v>
      </c>
    </row>
    <row r="2752" spans="1:23" x14ac:dyDescent="0.3">
      <c r="A2752">
        <v>2979551</v>
      </c>
      <c r="B2752">
        <v>86.22</v>
      </c>
      <c r="C2752" t="s">
        <v>6110</v>
      </c>
      <c r="D2752" t="s">
        <v>6111</v>
      </c>
      <c r="E2752" t="s">
        <v>23</v>
      </c>
      <c r="F2752" t="s">
        <v>44</v>
      </c>
      <c r="G2752">
        <v>2020</v>
      </c>
      <c r="H2752" t="s">
        <v>58</v>
      </c>
      <c r="K2752" t="s">
        <v>25</v>
      </c>
      <c r="L2752" t="s">
        <v>26</v>
      </c>
      <c r="M2752" t="b">
        <v>1</v>
      </c>
      <c r="N2752" t="s">
        <v>6112</v>
      </c>
      <c r="Q2752" t="b">
        <v>0</v>
      </c>
      <c r="S2752" t="str">
        <f>"9780310357674"</f>
        <v>9780310357674</v>
      </c>
      <c r="T2752" t="str">
        <f>"9780310357681"</f>
        <v>9780310357681</v>
      </c>
      <c r="U2752" t="b">
        <v>0</v>
      </c>
      <c r="W2752" t="b">
        <v>0</v>
      </c>
    </row>
    <row r="2753" spans="1:23" x14ac:dyDescent="0.3">
      <c r="A2753">
        <v>2979550</v>
      </c>
      <c r="B2753">
        <v>39.049999999999997</v>
      </c>
      <c r="C2753" t="s">
        <v>6113</v>
      </c>
      <c r="E2753" t="s">
        <v>23</v>
      </c>
      <c r="F2753" t="s">
        <v>44</v>
      </c>
      <c r="G2753">
        <v>2010</v>
      </c>
      <c r="H2753" t="s">
        <v>69</v>
      </c>
      <c r="K2753" t="s">
        <v>25</v>
      </c>
      <c r="L2753" t="s">
        <v>30</v>
      </c>
      <c r="M2753" t="b">
        <v>1</v>
      </c>
      <c r="N2753" t="s">
        <v>3567</v>
      </c>
      <c r="Q2753" t="b">
        <v>0</v>
      </c>
      <c r="S2753" t="str">
        <f>"9780310220145"</f>
        <v>9780310220145</v>
      </c>
      <c r="T2753" t="str">
        <f>"9780310860365"</f>
        <v>9780310860365</v>
      </c>
      <c r="U2753" t="b">
        <v>0</v>
      </c>
      <c r="W2753" t="b">
        <v>0</v>
      </c>
    </row>
    <row r="2754" spans="1:23" x14ac:dyDescent="0.3">
      <c r="A2754">
        <v>2979549</v>
      </c>
      <c r="B2754">
        <v>34.47</v>
      </c>
      <c r="C2754" t="s">
        <v>6114</v>
      </c>
      <c r="E2754" t="s">
        <v>23</v>
      </c>
      <c r="F2754" t="s">
        <v>44</v>
      </c>
      <c r="G2754">
        <v>2009</v>
      </c>
      <c r="H2754" t="s">
        <v>531</v>
      </c>
      <c r="K2754" t="s">
        <v>25</v>
      </c>
      <c r="L2754" t="s">
        <v>30</v>
      </c>
      <c r="M2754" t="b">
        <v>1</v>
      </c>
      <c r="N2754" t="s">
        <v>1285</v>
      </c>
      <c r="Q2754" t="b">
        <v>0</v>
      </c>
      <c r="S2754" t="str">
        <f>"9780310279310"</f>
        <v>9780310279310</v>
      </c>
      <c r="T2754" t="str">
        <f>"9780310864851"</f>
        <v>9780310864851</v>
      </c>
      <c r="U2754" t="b">
        <v>0</v>
      </c>
      <c r="W2754" t="b">
        <v>0</v>
      </c>
    </row>
    <row r="2755" spans="1:23" x14ac:dyDescent="0.3">
      <c r="A2755">
        <v>2979548</v>
      </c>
      <c r="B2755">
        <v>46.16</v>
      </c>
      <c r="C2755" t="s">
        <v>6115</v>
      </c>
      <c r="D2755" t="s">
        <v>6116</v>
      </c>
      <c r="E2755" t="s">
        <v>23</v>
      </c>
      <c r="F2755" t="s">
        <v>44</v>
      </c>
      <c r="G2755">
        <v>2018</v>
      </c>
      <c r="H2755" t="s">
        <v>119</v>
      </c>
      <c r="I2755" t="s">
        <v>6117</v>
      </c>
      <c r="J2755" t="s">
        <v>6118</v>
      </c>
      <c r="K2755" t="s">
        <v>25</v>
      </c>
      <c r="L2755" t="s">
        <v>26</v>
      </c>
      <c r="M2755" t="b">
        <v>1</v>
      </c>
      <c r="N2755" t="s">
        <v>2778</v>
      </c>
      <c r="O2755" t="str">
        <f>"362.280973"</f>
        <v>362.280973</v>
      </c>
      <c r="Q2755" t="b">
        <v>0</v>
      </c>
      <c r="T2755" t="str">
        <f>"9780310349952"</f>
        <v>9780310349952</v>
      </c>
      <c r="U2755" t="b">
        <v>0</v>
      </c>
      <c r="W2755" t="b">
        <v>0</v>
      </c>
    </row>
    <row r="2756" spans="1:23" x14ac:dyDescent="0.3">
      <c r="A2756">
        <v>2979547</v>
      </c>
      <c r="B2756">
        <v>46.16</v>
      </c>
      <c r="C2756" t="s">
        <v>6119</v>
      </c>
      <c r="E2756" t="s">
        <v>23</v>
      </c>
      <c r="F2756" t="s">
        <v>44</v>
      </c>
      <c r="G2756">
        <v>2010</v>
      </c>
      <c r="H2756" t="s">
        <v>58</v>
      </c>
      <c r="K2756" t="s">
        <v>25</v>
      </c>
      <c r="L2756" t="s">
        <v>26</v>
      </c>
      <c r="M2756" t="b">
        <v>1</v>
      </c>
      <c r="N2756" t="s">
        <v>2269</v>
      </c>
      <c r="P2756" t="s">
        <v>6120</v>
      </c>
      <c r="Q2756" t="b">
        <v>0</v>
      </c>
      <c r="T2756" t="str">
        <f>"9780310871774"</f>
        <v>9780310871774</v>
      </c>
      <c r="U2756" t="b">
        <v>0</v>
      </c>
      <c r="W2756" t="b">
        <v>0</v>
      </c>
    </row>
    <row r="2757" spans="1:23" x14ac:dyDescent="0.3">
      <c r="A2757">
        <v>2979546</v>
      </c>
      <c r="B2757">
        <v>55.17</v>
      </c>
      <c r="C2757" t="s">
        <v>6121</v>
      </c>
      <c r="D2757" t="s">
        <v>6122</v>
      </c>
      <c r="E2757" t="s">
        <v>23</v>
      </c>
      <c r="F2757" t="s">
        <v>44</v>
      </c>
      <c r="G2757">
        <v>2015</v>
      </c>
      <c r="H2757" t="s">
        <v>2079</v>
      </c>
      <c r="K2757" t="s">
        <v>25</v>
      </c>
      <c r="L2757" t="s">
        <v>26</v>
      </c>
      <c r="M2757" t="b">
        <v>1</v>
      </c>
      <c r="N2757" t="s">
        <v>3426</v>
      </c>
      <c r="Q2757" t="b">
        <v>0</v>
      </c>
      <c r="S2757" t="str">
        <f>"9780310750161"</f>
        <v>9780310750161</v>
      </c>
      <c r="T2757" t="str">
        <f>"9780310751465"</f>
        <v>9780310751465</v>
      </c>
      <c r="U2757" t="b">
        <v>0</v>
      </c>
      <c r="W2757" t="b">
        <v>0</v>
      </c>
    </row>
    <row r="2758" spans="1:23" x14ac:dyDescent="0.3">
      <c r="A2758">
        <v>2979545</v>
      </c>
      <c r="B2758">
        <v>34.47</v>
      </c>
      <c r="C2758" t="s">
        <v>6123</v>
      </c>
      <c r="D2758" t="s">
        <v>1299</v>
      </c>
      <c r="E2758" t="s">
        <v>23</v>
      </c>
      <c r="F2758" t="s">
        <v>44</v>
      </c>
      <c r="G2758">
        <v>2011</v>
      </c>
      <c r="H2758" t="s">
        <v>2079</v>
      </c>
      <c r="K2758" t="s">
        <v>25</v>
      </c>
      <c r="L2758" t="s">
        <v>30</v>
      </c>
      <c r="M2758" t="b">
        <v>1</v>
      </c>
      <c r="N2758" t="s">
        <v>1297</v>
      </c>
      <c r="Q2758" t="b">
        <v>0</v>
      </c>
      <c r="S2758" t="str">
        <f>"9780310726111"</f>
        <v>9780310726111</v>
      </c>
      <c r="T2758" t="str">
        <f>"9780310726128"</f>
        <v>9780310726128</v>
      </c>
      <c r="U2758" t="b">
        <v>0</v>
      </c>
      <c r="W2758" t="b">
        <v>0</v>
      </c>
    </row>
    <row r="2759" spans="1:23" x14ac:dyDescent="0.3">
      <c r="A2759">
        <v>2979544</v>
      </c>
      <c r="B2759">
        <v>14.18</v>
      </c>
      <c r="C2759" t="s">
        <v>6124</v>
      </c>
      <c r="D2759" t="s">
        <v>3027</v>
      </c>
      <c r="E2759" t="s">
        <v>23</v>
      </c>
      <c r="F2759" t="s">
        <v>44</v>
      </c>
      <c r="G2759">
        <v>2019</v>
      </c>
      <c r="H2759" t="s">
        <v>772</v>
      </c>
      <c r="K2759" t="s">
        <v>25</v>
      </c>
      <c r="L2759" t="s">
        <v>30</v>
      </c>
      <c r="M2759" t="b">
        <v>1</v>
      </c>
      <c r="N2759" t="s">
        <v>958</v>
      </c>
      <c r="Q2759" t="b">
        <v>1</v>
      </c>
      <c r="T2759" t="str">
        <f>"9780310352839"</f>
        <v>9780310352839</v>
      </c>
      <c r="U2759" t="b">
        <v>0</v>
      </c>
      <c r="W2759" t="b">
        <v>0</v>
      </c>
    </row>
    <row r="2760" spans="1:23" x14ac:dyDescent="0.3">
      <c r="A2760">
        <v>2979543</v>
      </c>
      <c r="B2760">
        <v>63.93</v>
      </c>
      <c r="C2760" t="s">
        <v>6125</v>
      </c>
      <c r="D2760" t="s">
        <v>6126</v>
      </c>
      <c r="E2760" t="s">
        <v>23</v>
      </c>
      <c r="F2760" t="s">
        <v>44</v>
      </c>
      <c r="G2760">
        <v>2013</v>
      </c>
      <c r="H2760" t="s">
        <v>58</v>
      </c>
      <c r="K2760" t="s">
        <v>25</v>
      </c>
      <c r="L2760" t="s">
        <v>30</v>
      </c>
      <c r="M2760" t="b">
        <v>1</v>
      </c>
      <c r="N2760" t="s">
        <v>419</v>
      </c>
      <c r="Q2760" t="b">
        <v>0</v>
      </c>
      <c r="T2760" t="str">
        <f>"9780310333067"</f>
        <v>9780310333067</v>
      </c>
      <c r="U2760" t="b">
        <v>0</v>
      </c>
      <c r="W2760" t="b">
        <v>0</v>
      </c>
    </row>
    <row r="2761" spans="1:23" x14ac:dyDescent="0.3">
      <c r="A2761">
        <v>2979542</v>
      </c>
      <c r="B2761">
        <v>44.82</v>
      </c>
      <c r="C2761" t="s">
        <v>6127</v>
      </c>
      <c r="D2761" t="s">
        <v>2783</v>
      </c>
      <c r="E2761" t="s">
        <v>23</v>
      </c>
      <c r="F2761" t="s">
        <v>44</v>
      </c>
      <c r="G2761">
        <v>2015</v>
      </c>
      <c r="H2761" t="s">
        <v>1212</v>
      </c>
      <c r="K2761" t="s">
        <v>25</v>
      </c>
      <c r="L2761" t="s">
        <v>26</v>
      </c>
      <c r="M2761" t="b">
        <v>1</v>
      </c>
      <c r="N2761" t="s">
        <v>6128</v>
      </c>
      <c r="P2761" t="s">
        <v>2785</v>
      </c>
      <c r="Q2761" t="b">
        <v>1</v>
      </c>
      <c r="S2761" t="str">
        <f>"9780310339243"</f>
        <v>9780310339243</v>
      </c>
      <c r="T2761" t="str">
        <f>"9780310341635"</f>
        <v>9780310341635</v>
      </c>
      <c r="U2761" t="b">
        <v>0</v>
      </c>
      <c r="W2761" t="b">
        <v>0</v>
      </c>
    </row>
    <row r="2762" spans="1:23" x14ac:dyDescent="0.3">
      <c r="A2762">
        <v>2979540</v>
      </c>
      <c r="B2762">
        <v>55.17</v>
      </c>
      <c r="C2762" t="s">
        <v>6129</v>
      </c>
      <c r="E2762" t="s">
        <v>23</v>
      </c>
      <c r="F2762" t="s">
        <v>44</v>
      </c>
      <c r="G2762">
        <v>2014</v>
      </c>
      <c r="H2762" t="s">
        <v>2308</v>
      </c>
      <c r="K2762" t="s">
        <v>25</v>
      </c>
      <c r="L2762" t="s">
        <v>30</v>
      </c>
      <c r="M2762" t="b">
        <v>1</v>
      </c>
      <c r="N2762" t="s">
        <v>4148</v>
      </c>
      <c r="P2762" t="s">
        <v>2963</v>
      </c>
      <c r="Q2762" t="b">
        <v>1</v>
      </c>
      <c r="S2762" t="str">
        <f>"9780310335986"</f>
        <v>9780310335986</v>
      </c>
      <c r="T2762" t="str">
        <f>"9780310336006"</f>
        <v>9780310336006</v>
      </c>
      <c r="U2762" t="b">
        <v>0</v>
      </c>
      <c r="W2762" t="b">
        <v>0</v>
      </c>
    </row>
    <row r="2763" spans="1:23" x14ac:dyDescent="0.3">
      <c r="A2763">
        <v>2979539</v>
      </c>
      <c r="B2763">
        <v>44.82</v>
      </c>
      <c r="C2763" t="s">
        <v>6130</v>
      </c>
      <c r="E2763" t="s">
        <v>23</v>
      </c>
      <c r="F2763" t="s">
        <v>44</v>
      </c>
      <c r="G2763">
        <v>2011</v>
      </c>
      <c r="H2763" t="s">
        <v>3986</v>
      </c>
      <c r="K2763" t="s">
        <v>25</v>
      </c>
      <c r="L2763" t="s">
        <v>30</v>
      </c>
      <c r="M2763" t="b">
        <v>1</v>
      </c>
      <c r="N2763" t="s">
        <v>740</v>
      </c>
      <c r="P2763" t="s">
        <v>1560</v>
      </c>
      <c r="Q2763" t="b">
        <v>0</v>
      </c>
      <c r="S2763" t="str">
        <f>"9780310727613"</f>
        <v>9780310727613</v>
      </c>
      <c r="T2763" t="str">
        <f>"9780310727620"</f>
        <v>9780310727620</v>
      </c>
      <c r="U2763" t="b">
        <v>0</v>
      </c>
      <c r="W2763" t="b">
        <v>0</v>
      </c>
    </row>
    <row r="2764" spans="1:23" x14ac:dyDescent="0.3">
      <c r="A2764">
        <v>2979538</v>
      </c>
      <c r="B2764">
        <v>14.18</v>
      </c>
      <c r="C2764" t="s">
        <v>6131</v>
      </c>
      <c r="D2764" t="s">
        <v>4417</v>
      </c>
      <c r="E2764" t="s">
        <v>23</v>
      </c>
      <c r="F2764" t="s">
        <v>44</v>
      </c>
      <c r="G2764">
        <v>2019</v>
      </c>
      <c r="H2764" t="s">
        <v>772</v>
      </c>
      <c r="K2764" t="s">
        <v>25</v>
      </c>
      <c r="L2764" t="s">
        <v>30</v>
      </c>
      <c r="M2764" t="b">
        <v>1</v>
      </c>
      <c r="N2764" t="s">
        <v>776</v>
      </c>
      <c r="Q2764" t="b">
        <v>1</v>
      </c>
      <c r="T2764" t="str">
        <f>"9780310354345"</f>
        <v>9780310354345</v>
      </c>
      <c r="U2764" t="b">
        <v>0</v>
      </c>
      <c r="W2764" t="b">
        <v>0</v>
      </c>
    </row>
    <row r="2765" spans="1:23" x14ac:dyDescent="0.3">
      <c r="A2765">
        <v>2979537</v>
      </c>
      <c r="B2765">
        <v>51.72</v>
      </c>
      <c r="C2765" t="s">
        <v>6132</v>
      </c>
      <c r="E2765" t="s">
        <v>23</v>
      </c>
      <c r="F2765" t="s">
        <v>44</v>
      </c>
      <c r="G2765">
        <v>2013</v>
      </c>
      <c r="H2765" t="s">
        <v>74</v>
      </c>
      <c r="K2765" t="s">
        <v>25</v>
      </c>
      <c r="L2765" t="s">
        <v>30</v>
      </c>
      <c r="M2765" t="b">
        <v>1</v>
      </c>
      <c r="N2765" t="s">
        <v>4493</v>
      </c>
      <c r="P2765" t="s">
        <v>4494</v>
      </c>
      <c r="Q2765" t="b">
        <v>1</v>
      </c>
      <c r="S2765" t="str">
        <f>"9780310334033"</f>
        <v>9780310334033</v>
      </c>
      <c r="T2765" t="str">
        <f>"9780310334040"</f>
        <v>9780310334040</v>
      </c>
      <c r="U2765" t="b">
        <v>0</v>
      </c>
      <c r="W2765" t="b">
        <v>0</v>
      </c>
    </row>
    <row r="2766" spans="1:23" x14ac:dyDescent="0.3">
      <c r="A2766">
        <v>2979536</v>
      </c>
      <c r="B2766">
        <v>103.47</v>
      </c>
      <c r="C2766" t="s">
        <v>6133</v>
      </c>
      <c r="D2766" t="s">
        <v>6134</v>
      </c>
      <c r="E2766" t="s">
        <v>23</v>
      </c>
      <c r="F2766" t="s">
        <v>44</v>
      </c>
      <c r="G2766">
        <v>2010</v>
      </c>
      <c r="H2766" t="s">
        <v>1154</v>
      </c>
      <c r="I2766" t="s">
        <v>6135</v>
      </c>
      <c r="J2766" t="s">
        <v>6136</v>
      </c>
      <c r="K2766" t="s">
        <v>25</v>
      </c>
      <c r="L2766" t="s">
        <v>30</v>
      </c>
      <c r="M2766" t="b">
        <v>1</v>
      </c>
      <c r="N2766" t="s">
        <v>6137</v>
      </c>
      <c r="O2766" t="str">
        <f>"264.15"</f>
        <v>264.15</v>
      </c>
      <c r="Q2766" t="b">
        <v>0</v>
      </c>
      <c r="S2766" t="str">
        <f>"9780310326199"</f>
        <v>9780310326199</v>
      </c>
      <c r="T2766" t="str">
        <f>"9780310326212"</f>
        <v>9780310326212</v>
      </c>
      <c r="U2766" t="b">
        <v>0</v>
      </c>
      <c r="W2766" t="b">
        <v>0</v>
      </c>
    </row>
    <row r="2767" spans="1:23" x14ac:dyDescent="0.3">
      <c r="A2767">
        <v>2979535</v>
      </c>
      <c r="B2767">
        <v>14.18</v>
      </c>
      <c r="C2767" t="s">
        <v>6138</v>
      </c>
      <c r="E2767" t="s">
        <v>23</v>
      </c>
      <c r="F2767" t="s">
        <v>44</v>
      </c>
      <c r="G2767">
        <v>2014</v>
      </c>
      <c r="H2767" t="s">
        <v>1212</v>
      </c>
      <c r="K2767" t="s">
        <v>25</v>
      </c>
      <c r="L2767" t="s">
        <v>30</v>
      </c>
      <c r="M2767" t="b">
        <v>1</v>
      </c>
      <c r="N2767" t="s">
        <v>3580</v>
      </c>
      <c r="P2767" t="s">
        <v>2785</v>
      </c>
      <c r="Q2767" t="b">
        <v>1</v>
      </c>
      <c r="T2767" t="str">
        <f>"9780310339199"</f>
        <v>9780310339199</v>
      </c>
      <c r="U2767" t="b">
        <v>0</v>
      </c>
      <c r="W2767" t="b">
        <v>0</v>
      </c>
    </row>
    <row r="2768" spans="1:23" x14ac:dyDescent="0.3">
      <c r="A2768">
        <v>2979534</v>
      </c>
      <c r="B2768">
        <v>14.18</v>
      </c>
      <c r="C2768" t="s">
        <v>6139</v>
      </c>
      <c r="D2768" t="s">
        <v>2707</v>
      </c>
      <c r="E2768" t="s">
        <v>23</v>
      </c>
      <c r="F2768" t="s">
        <v>44</v>
      </c>
      <c r="G2768">
        <v>2018</v>
      </c>
      <c r="H2768" t="s">
        <v>772</v>
      </c>
      <c r="K2768" t="s">
        <v>25</v>
      </c>
      <c r="L2768" t="s">
        <v>30</v>
      </c>
      <c r="M2768" t="b">
        <v>1</v>
      </c>
      <c r="N2768" t="s">
        <v>958</v>
      </c>
      <c r="Q2768" t="b">
        <v>1</v>
      </c>
      <c r="T2768" t="str">
        <f>"9780310352020"</f>
        <v>9780310352020</v>
      </c>
      <c r="U2768" t="b">
        <v>0</v>
      </c>
      <c r="W2768" t="b">
        <v>0</v>
      </c>
    </row>
    <row r="2769" spans="1:23" x14ac:dyDescent="0.3">
      <c r="A2769">
        <v>2979533</v>
      </c>
      <c r="B2769">
        <v>42.61</v>
      </c>
      <c r="C2769" t="s">
        <v>6140</v>
      </c>
      <c r="E2769" t="s">
        <v>23</v>
      </c>
      <c r="F2769" t="s">
        <v>44</v>
      </c>
      <c r="G2769">
        <v>2009</v>
      </c>
      <c r="H2769" t="s">
        <v>56</v>
      </c>
      <c r="K2769" t="s">
        <v>25</v>
      </c>
      <c r="L2769" t="s">
        <v>30</v>
      </c>
      <c r="M2769" t="b">
        <v>1</v>
      </c>
      <c r="N2769" t="s">
        <v>4747</v>
      </c>
      <c r="Q2769" t="b">
        <v>0</v>
      </c>
      <c r="T2769" t="str">
        <f>"9780310868101"</f>
        <v>9780310868101</v>
      </c>
      <c r="U2769" t="b">
        <v>0</v>
      </c>
      <c r="W2769" t="b">
        <v>0</v>
      </c>
    </row>
    <row r="2770" spans="1:23" x14ac:dyDescent="0.3">
      <c r="A2770">
        <v>2979532</v>
      </c>
      <c r="B2770">
        <v>46.16</v>
      </c>
      <c r="C2770" t="s">
        <v>6141</v>
      </c>
      <c r="D2770" t="s">
        <v>6142</v>
      </c>
      <c r="E2770" t="s">
        <v>23</v>
      </c>
      <c r="F2770" t="s">
        <v>44</v>
      </c>
      <c r="G2770">
        <v>2011</v>
      </c>
      <c r="H2770" t="s">
        <v>99</v>
      </c>
      <c r="K2770" t="s">
        <v>25</v>
      </c>
      <c r="L2770" t="s">
        <v>30</v>
      </c>
      <c r="M2770" t="b">
        <v>1</v>
      </c>
      <c r="N2770" t="s">
        <v>6143</v>
      </c>
      <c r="Q2770" t="b">
        <v>0</v>
      </c>
      <c r="T2770" t="str">
        <f>"9780310590446"</f>
        <v>9780310590446</v>
      </c>
      <c r="U2770" t="b">
        <v>0</v>
      </c>
      <c r="W2770" t="b">
        <v>0</v>
      </c>
    </row>
    <row r="2771" spans="1:23" x14ac:dyDescent="0.3">
      <c r="A2771">
        <v>2979531</v>
      </c>
      <c r="B2771">
        <v>14.18</v>
      </c>
      <c r="C2771" t="s">
        <v>6144</v>
      </c>
      <c r="E2771" t="s">
        <v>23</v>
      </c>
      <c r="F2771" t="s">
        <v>44</v>
      </c>
      <c r="G2771">
        <v>2014</v>
      </c>
      <c r="H2771" t="s">
        <v>1212</v>
      </c>
      <c r="K2771" t="s">
        <v>25</v>
      </c>
      <c r="L2771" t="s">
        <v>30</v>
      </c>
      <c r="M2771" t="b">
        <v>1</v>
      </c>
      <c r="N2771" t="s">
        <v>5814</v>
      </c>
      <c r="P2771" t="s">
        <v>2785</v>
      </c>
      <c r="Q2771" t="b">
        <v>1</v>
      </c>
      <c r="T2771" t="str">
        <f>"9780310339144"</f>
        <v>9780310339144</v>
      </c>
      <c r="U2771" t="b">
        <v>0</v>
      </c>
      <c r="W2771" t="b">
        <v>0</v>
      </c>
    </row>
    <row r="2772" spans="1:23" x14ac:dyDescent="0.3">
      <c r="A2772">
        <v>2979530</v>
      </c>
      <c r="B2772">
        <v>58.62</v>
      </c>
      <c r="C2772" t="s">
        <v>6145</v>
      </c>
      <c r="D2772" t="s">
        <v>6146</v>
      </c>
      <c r="E2772" t="s">
        <v>23</v>
      </c>
      <c r="F2772" t="s">
        <v>44</v>
      </c>
      <c r="G2772">
        <v>2018</v>
      </c>
      <c r="H2772" t="s">
        <v>1293</v>
      </c>
      <c r="K2772" t="s">
        <v>25</v>
      </c>
      <c r="L2772" t="s">
        <v>26</v>
      </c>
      <c r="M2772" t="b">
        <v>1</v>
      </c>
      <c r="N2772" t="s">
        <v>129</v>
      </c>
      <c r="P2772" t="s">
        <v>130</v>
      </c>
      <c r="Q2772" t="b">
        <v>0</v>
      </c>
      <c r="S2772" t="str">
        <f>"9780310746362"</f>
        <v>9780310746362</v>
      </c>
      <c r="T2772" t="str">
        <f>"9780310747239"</f>
        <v>9780310747239</v>
      </c>
      <c r="U2772" t="b">
        <v>0</v>
      </c>
      <c r="W2772" t="b">
        <v>0</v>
      </c>
    </row>
    <row r="2773" spans="1:23" x14ac:dyDescent="0.3">
      <c r="A2773">
        <v>2979529</v>
      </c>
      <c r="B2773">
        <v>27.57</v>
      </c>
      <c r="C2773" t="s">
        <v>6147</v>
      </c>
      <c r="D2773" t="s">
        <v>6148</v>
      </c>
      <c r="E2773" t="s">
        <v>23</v>
      </c>
      <c r="F2773" t="s">
        <v>44</v>
      </c>
      <c r="G2773">
        <v>2018</v>
      </c>
      <c r="H2773" t="s">
        <v>728</v>
      </c>
      <c r="K2773" t="s">
        <v>25</v>
      </c>
      <c r="L2773" t="s">
        <v>26</v>
      </c>
      <c r="M2773" t="b">
        <v>1</v>
      </c>
      <c r="N2773" t="s">
        <v>44</v>
      </c>
      <c r="Q2773" t="b">
        <v>1</v>
      </c>
      <c r="S2773" t="str">
        <f>"9780785217572"</f>
        <v>9780785217572</v>
      </c>
      <c r="T2773" t="str">
        <f>"9780785219644"</f>
        <v>9780785219644</v>
      </c>
      <c r="U2773" t="b">
        <v>0</v>
      </c>
      <c r="W2773" t="b">
        <v>0</v>
      </c>
    </row>
    <row r="2774" spans="1:23" x14ac:dyDescent="0.3">
      <c r="A2774">
        <v>2979528</v>
      </c>
      <c r="B2774">
        <v>86.22</v>
      </c>
      <c r="C2774" t="s">
        <v>6149</v>
      </c>
      <c r="E2774" t="s">
        <v>23</v>
      </c>
      <c r="F2774" t="s">
        <v>44</v>
      </c>
      <c r="G2774">
        <v>2019</v>
      </c>
      <c r="H2774" t="s">
        <v>24</v>
      </c>
      <c r="K2774" t="s">
        <v>25</v>
      </c>
      <c r="L2774" t="s">
        <v>26</v>
      </c>
      <c r="M2774" t="b">
        <v>1</v>
      </c>
      <c r="N2774" t="s">
        <v>6150</v>
      </c>
      <c r="Q2774" t="b">
        <v>0</v>
      </c>
      <c r="S2774" t="str">
        <f>"9780310354888"</f>
        <v>9780310354888</v>
      </c>
      <c r="T2774" t="str">
        <f>"9780310354901"</f>
        <v>9780310354901</v>
      </c>
      <c r="U2774" t="b">
        <v>0</v>
      </c>
      <c r="W2774" t="b">
        <v>0</v>
      </c>
    </row>
    <row r="2775" spans="1:23" x14ac:dyDescent="0.3">
      <c r="A2775">
        <v>2979527</v>
      </c>
      <c r="B2775">
        <v>51.72</v>
      </c>
      <c r="C2775" t="s">
        <v>6151</v>
      </c>
      <c r="D2775" t="s">
        <v>6152</v>
      </c>
      <c r="E2775" t="s">
        <v>23</v>
      </c>
      <c r="F2775" t="s">
        <v>44</v>
      </c>
      <c r="G2775">
        <v>2009</v>
      </c>
      <c r="H2775" t="s">
        <v>58</v>
      </c>
      <c r="K2775" t="s">
        <v>25</v>
      </c>
      <c r="L2775" t="s">
        <v>30</v>
      </c>
      <c r="M2775" t="b">
        <v>1</v>
      </c>
      <c r="N2775" t="s">
        <v>3183</v>
      </c>
      <c r="Q2775" t="b">
        <v>0</v>
      </c>
      <c r="S2775" t="str">
        <f>"9780310239642"</f>
        <v>9780310239642</v>
      </c>
      <c r="T2775" t="str">
        <f>"9780310859581"</f>
        <v>9780310859581</v>
      </c>
      <c r="U2775" t="b">
        <v>0</v>
      </c>
      <c r="W2775" t="b">
        <v>0</v>
      </c>
    </row>
    <row r="2776" spans="1:23" x14ac:dyDescent="0.3">
      <c r="A2776">
        <v>2979526</v>
      </c>
      <c r="B2776">
        <v>51.72</v>
      </c>
      <c r="C2776" t="s">
        <v>6153</v>
      </c>
      <c r="D2776" t="s">
        <v>6154</v>
      </c>
      <c r="E2776" t="s">
        <v>23</v>
      </c>
      <c r="F2776" t="s">
        <v>44</v>
      </c>
      <c r="G2776">
        <v>2021</v>
      </c>
      <c r="H2776" t="s">
        <v>62</v>
      </c>
      <c r="I2776" t="s">
        <v>6155</v>
      </c>
      <c r="J2776" t="s">
        <v>6156</v>
      </c>
      <c r="K2776" t="s">
        <v>25</v>
      </c>
      <c r="L2776" t="s">
        <v>26</v>
      </c>
      <c r="M2776" t="b">
        <v>1</v>
      </c>
      <c r="N2776" t="s">
        <v>2269</v>
      </c>
      <c r="O2776" t="str">
        <f>"234.5"</f>
        <v>234.5</v>
      </c>
      <c r="Q2776" t="b">
        <v>0</v>
      </c>
      <c r="S2776" t="str">
        <f>"9780310120087"</f>
        <v>9780310120087</v>
      </c>
      <c r="T2776" t="str">
        <f>"9780310120094"</f>
        <v>9780310120094</v>
      </c>
      <c r="U2776" t="b">
        <v>0</v>
      </c>
      <c r="W2776" t="b">
        <v>0</v>
      </c>
    </row>
    <row r="2777" spans="1:23" x14ac:dyDescent="0.3">
      <c r="A2777">
        <v>2979525</v>
      </c>
      <c r="B2777">
        <v>55.17</v>
      </c>
      <c r="C2777" t="s">
        <v>6157</v>
      </c>
      <c r="D2777" t="s">
        <v>5775</v>
      </c>
      <c r="E2777" t="s">
        <v>23</v>
      </c>
      <c r="F2777" t="s">
        <v>44</v>
      </c>
      <c r="G2777">
        <v>2014</v>
      </c>
      <c r="H2777" t="s">
        <v>58</v>
      </c>
      <c r="K2777" t="s">
        <v>25</v>
      </c>
      <c r="L2777" t="s">
        <v>26</v>
      </c>
      <c r="M2777" t="b">
        <v>1</v>
      </c>
      <c r="N2777" t="s">
        <v>5776</v>
      </c>
      <c r="Q2777" t="b">
        <v>0</v>
      </c>
      <c r="S2777" t="str">
        <f>"9780310328353"</f>
        <v>9780310328353</v>
      </c>
      <c r="T2777" t="str">
        <f>"9780310328537"</f>
        <v>9780310328537</v>
      </c>
      <c r="U2777" t="b">
        <v>0</v>
      </c>
      <c r="W2777" t="b">
        <v>0</v>
      </c>
    </row>
    <row r="2778" spans="1:23" x14ac:dyDescent="0.3">
      <c r="A2778">
        <v>2979524</v>
      </c>
      <c r="B2778">
        <v>51.72</v>
      </c>
      <c r="C2778" t="s">
        <v>6158</v>
      </c>
      <c r="E2778" t="s">
        <v>23</v>
      </c>
      <c r="F2778" t="s">
        <v>44</v>
      </c>
      <c r="G2778">
        <v>2014</v>
      </c>
      <c r="H2778" t="s">
        <v>58</v>
      </c>
      <c r="K2778" t="s">
        <v>25</v>
      </c>
      <c r="L2778" t="s">
        <v>26</v>
      </c>
      <c r="M2778" t="b">
        <v>1</v>
      </c>
      <c r="N2778" t="s">
        <v>419</v>
      </c>
      <c r="Q2778" t="b">
        <v>0</v>
      </c>
      <c r="S2778" t="str">
        <f>"9780310339731"</f>
        <v>9780310339731</v>
      </c>
      <c r="T2778" t="str">
        <f>"9780310009184"</f>
        <v>9780310009184</v>
      </c>
      <c r="U2778" t="b">
        <v>0</v>
      </c>
      <c r="W2778" t="b">
        <v>0</v>
      </c>
    </row>
    <row r="2779" spans="1:23" x14ac:dyDescent="0.3">
      <c r="A2779">
        <v>2979523</v>
      </c>
      <c r="B2779">
        <v>55.17</v>
      </c>
      <c r="C2779" t="s">
        <v>6159</v>
      </c>
      <c r="E2779" t="s">
        <v>23</v>
      </c>
      <c r="F2779" t="s">
        <v>44</v>
      </c>
      <c r="G2779">
        <v>2018</v>
      </c>
      <c r="H2779" t="s">
        <v>99</v>
      </c>
      <c r="K2779" t="s">
        <v>25</v>
      </c>
      <c r="L2779" t="s">
        <v>26</v>
      </c>
      <c r="M2779" t="b">
        <v>1</v>
      </c>
      <c r="N2779" t="s">
        <v>419</v>
      </c>
      <c r="Q2779" t="b">
        <v>0</v>
      </c>
      <c r="S2779" t="str">
        <f>"9780310766155"</f>
        <v>9780310766155</v>
      </c>
      <c r="T2779" t="str">
        <f>"9780310766018"</f>
        <v>9780310766018</v>
      </c>
      <c r="U2779" t="b">
        <v>0</v>
      </c>
      <c r="W2779" t="b">
        <v>0</v>
      </c>
    </row>
    <row r="2780" spans="1:23" x14ac:dyDescent="0.3">
      <c r="A2780">
        <v>2979522</v>
      </c>
      <c r="B2780">
        <v>31.02</v>
      </c>
      <c r="C2780" t="s">
        <v>6160</v>
      </c>
      <c r="E2780" t="s">
        <v>23</v>
      </c>
      <c r="F2780" t="s">
        <v>44</v>
      </c>
      <c r="G2780">
        <v>2020</v>
      </c>
      <c r="H2780" t="s">
        <v>772</v>
      </c>
      <c r="K2780" t="s">
        <v>25</v>
      </c>
      <c r="L2780" t="s">
        <v>26</v>
      </c>
      <c r="M2780" t="b">
        <v>1</v>
      </c>
      <c r="N2780" t="s">
        <v>958</v>
      </c>
      <c r="P2780" t="s">
        <v>2899</v>
      </c>
      <c r="Q2780" t="b">
        <v>1</v>
      </c>
      <c r="S2780" t="str">
        <f>"9780310363941"</f>
        <v>9780310363941</v>
      </c>
      <c r="T2780" t="str">
        <f>"9780310357186"</f>
        <v>9780310357186</v>
      </c>
      <c r="U2780" t="b">
        <v>0</v>
      </c>
      <c r="W2780" t="b">
        <v>0</v>
      </c>
    </row>
    <row r="2781" spans="1:23" x14ac:dyDescent="0.3">
      <c r="A2781">
        <v>2979521</v>
      </c>
      <c r="B2781">
        <v>51.72</v>
      </c>
      <c r="C2781" t="s">
        <v>6161</v>
      </c>
      <c r="E2781" t="s">
        <v>23</v>
      </c>
      <c r="F2781" t="s">
        <v>44</v>
      </c>
      <c r="G2781">
        <v>2010</v>
      </c>
      <c r="H2781" t="s">
        <v>2535</v>
      </c>
      <c r="K2781" t="s">
        <v>25</v>
      </c>
      <c r="L2781" t="s">
        <v>30</v>
      </c>
      <c r="M2781" t="b">
        <v>1</v>
      </c>
      <c r="N2781" t="s">
        <v>741</v>
      </c>
      <c r="P2781" t="s">
        <v>5726</v>
      </c>
      <c r="Q2781" t="b">
        <v>1</v>
      </c>
      <c r="S2781" t="str">
        <f>"9780310258063"</f>
        <v>9780310258063</v>
      </c>
      <c r="T2781" t="str">
        <f>"9780310778219"</f>
        <v>9780310778219</v>
      </c>
      <c r="U2781" t="b">
        <v>0</v>
      </c>
      <c r="W2781" t="b">
        <v>0</v>
      </c>
    </row>
    <row r="2782" spans="1:23" x14ac:dyDescent="0.3">
      <c r="A2782">
        <v>2979520</v>
      </c>
      <c r="B2782">
        <v>51.72</v>
      </c>
      <c r="C2782" t="s">
        <v>6162</v>
      </c>
      <c r="D2782" t="s">
        <v>1405</v>
      </c>
      <c r="E2782" t="s">
        <v>23</v>
      </c>
      <c r="F2782" t="s">
        <v>44</v>
      </c>
      <c r="G2782">
        <v>2011</v>
      </c>
      <c r="H2782" t="s">
        <v>74</v>
      </c>
      <c r="K2782" t="s">
        <v>25</v>
      </c>
      <c r="L2782" t="s">
        <v>30</v>
      </c>
      <c r="M2782" t="b">
        <v>1</v>
      </c>
      <c r="N2782" t="s">
        <v>6163</v>
      </c>
      <c r="Q2782" t="b">
        <v>1</v>
      </c>
      <c r="S2782" t="str">
        <f>"9780310293644"</f>
        <v>9780310293644</v>
      </c>
      <c r="T2782" t="str">
        <f>"9780310412465"</f>
        <v>9780310412465</v>
      </c>
      <c r="U2782" t="b">
        <v>0</v>
      </c>
      <c r="W2782" t="b">
        <v>0</v>
      </c>
    </row>
    <row r="2783" spans="1:23" x14ac:dyDescent="0.3">
      <c r="A2783">
        <v>2979519</v>
      </c>
      <c r="B2783">
        <v>55.17</v>
      </c>
      <c r="C2783" t="s">
        <v>6164</v>
      </c>
      <c r="E2783" t="s">
        <v>23</v>
      </c>
      <c r="F2783" t="s">
        <v>44</v>
      </c>
      <c r="G2783">
        <v>2016</v>
      </c>
      <c r="H2783" t="s">
        <v>912</v>
      </c>
      <c r="K2783" t="s">
        <v>25</v>
      </c>
      <c r="L2783" t="s">
        <v>26</v>
      </c>
      <c r="M2783" t="b">
        <v>1</v>
      </c>
      <c r="N2783" t="s">
        <v>6165</v>
      </c>
      <c r="Q2783" t="b">
        <v>0</v>
      </c>
      <c r="S2783" t="str">
        <f>"9780310611219"</f>
        <v>9780310611219</v>
      </c>
      <c r="T2783" t="str">
        <f>"9780310346876"</f>
        <v>9780310346876</v>
      </c>
      <c r="U2783" t="b">
        <v>0</v>
      </c>
      <c r="W2783" t="b">
        <v>0</v>
      </c>
    </row>
    <row r="2784" spans="1:23" x14ac:dyDescent="0.3">
      <c r="A2784">
        <v>2979518</v>
      </c>
      <c r="B2784">
        <v>44.82</v>
      </c>
      <c r="C2784" t="s">
        <v>6166</v>
      </c>
      <c r="E2784" t="s">
        <v>23</v>
      </c>
      <c r="F2784" t="s">
        <v>44</v>
      </c>
      <c r="G2784">
        <v>2009</v>
      </c>
      <c r="H2784" t="s">
        <v>728</v>
      </c>
      <c r="K2784" t="s">
        <v>25</v>
      </c>
      <c r="L2784" t="s">
        <v>30</v>
      </c>
      <c r="M2784" t="b">
        <v>1</v>
      </c>
      <c r="N2784" t="s">
        <v>3066</v>
      </c>
      <c r="P2784" t="s">
        <v>3412</v>
      </c>
      <c r="Q2784" t="b">
        <v>1</v>
      </c>
      <c r="S2784" t="str">
        <f>"9780310671213"</f>
        <v>9780310671213</v>
      </c>
      <c r="T2784" t="str">
        <f>"9780310831945"</f>
        <v>9780310831945</v>
      </c>
      <c r="U2784" t="b">
        <v>0</v>
      </c>
      <c r="W2784" t="b">
        <v>0</v>
      </c>
    </row>
    <row r="2785" spans="1:23" x14ac:dyDescent="0.3">
      <c r="A2785">
        <v>2979517</v>
      </c>
      <c r="B2785">
        <v>79.319999999999993</v>
      </c>
      <c r="C2785" t="s">
        <v>6167</v>
      </c>
      <c r="D2785" t="s">
        <v>6168</v>
      </c>
      <c r="E2785" t="s">
        <v>23</v>
      </c>
      <c r="F2785" t="s">
        <v>44</v>
      </c>
      <c r="G2785">
        <v>2020</v>
      </c>
      <c r="H2785" t="s">
        <v>1122</v>
      </c>
      <c r="I2785" t="s">
        <v>2716</v>
      </c>
      <c r="J2785" t="s">
        <v>6169</v>
      </c>
      <c r="K2785" t="s">
        <v>25</v>
      </c>
      <c r="L2785" t="s">
        <v>26</v>
      </c>
      <c r="M2785" t="b">
        <v>1</v>
      </c>
      <c r="N2785" t="s">
        <v>6170</v>
      </c>
      <c r="O2785" t="str">
        <f>"253.7"</f>
        <v>253.7</v>
      </c>
      <c r="Q2785" t="b">
        <v>0</v>
      </c>
      <c r="S2785" t="str">
        <f>"9780310106708"</f>
        <v>9780310106708</v>
      </c>
      <c r="T2785" t="str">
        <f>"9780310106715"</f>
        <v>9780310106715</v>
      </c>
      <c r="U2785" t="b">
        <v>0</v>
      </c>
      <c r="W2785" t="b">
        <v>0</v>
      </c>
    </row>
    <row r="2786" spans="1:23" x14ac:dyDescent="0.3">
      <c r="A2786">
        <v>2979516</v>
      </c>
      <c r="B2786">
        <v>51.72</v>
      </c>
      <c r="C2786" t="s">
        <v>6171</v>
      </c>
      <c r="E2786" t="s">
        <v>23</v>
      </c>
      <c r="F2786" t="s">
        <v>44</v>
      </c>
      <c r="G2786">
        <v>2012</v>
      </c>
      <c r="H2786" t="s">
        <v>717</v>
      </c>
      <c r="K2786" t="s">
        <v>25</v>
      </c>
      <c r="L2786" t="s">
        <v>30</v>
      </c>
      <c r="M2786" t="b">
        <v>1</v>
      </c>
      <c r="N2786" t="s">
        <v>1496</v>
      </c>
      <c r="P2786" t="s">
        <v>1497</v>
      </c>
      <c r="Q2786" t="b">
        <v>1</v>
      </c>
      <c r="S2786" t="str">
        <f>"9780310724193"</f>
        <v>9780310724193</v>
      </c>
      <c r="T2786" t="str">
        <f>"9780310724889"</f>
        <v>9780310724889</v>
      </c>
      <c r="U2786" t="b">
        <v>0</v>
      </c>
      <c r="W2786" t="b">
        <v>0</v>
      </c>
    </row>
    <row r="2787" spans="1:23" x14ac:dyDescent="0.3">
      <c r="A2787">
        <v>2979515</v>
      </c>
      <c r="B2787">
        <v>58.62</v>
      </c>
      <c r="C2787" t="s">
        <v>6172</v>
      </c>
      <c r="D2787" t="s">
        <v>6173</v>
      </c>
      <c r="E2787" t="s">
        <v>23</v>
      </c>
      <c r="F2787" t="s">
        <v>44</v>
      </c>
      <c r="G2787">
        <v>2017</v>
      </c>
      <c r="H2787" t="s">
        <v>58</v>
      </c>
      <c r="K2787" t="s">
        <v>25</v>
      </c>
      <c r="L2787" t="s">
        <v>26</v>
      </c>
      <c r="M2787" t="b">
        <v>1</v>
      </c>
      <c r="N2787" t="s">
        <v>3374</v>
      </c>
      <c r="Q2787" t="b">
        <v>0</v>
      </c>
      <c r="S2787" t="str">
        <f>"9780310349327"</f>
        <v>9780310349327</v>
      </c>
      <c r="T2787" t="str">
        <f>"9780310349372"</f>
        <v>9780310349372</v>
      </c>
      <c r="U2787" t="b">
        <v>0</v>
      </c>
      <c r="W2787" t="b">
        <v>0</v>
      </c>
    </row>
    <row r="2788" spans="1:23" x14ac:dyDescent="0.3">
      <c r="A2788">
        <v>2979514</v>
      </c>
      <c r="B2788">
        <v>65.52</v>
      </c>
      <c r="C2788" t="s">
        <v>6174</v>
      </c>
      <c r="D2788" t="s">
        <v>6175</v>
      </c>
      <c r="E2788" t="s">
        <v>23</v>
      </c>
      <c r="F2788" t="s">
        <v>44</v>
      </c>
      <c r="G2788">
        <v>2014</v>
      </c>
      <c r="H2788" t="s">
        <v>737</v>
      </c>
      <c r="K2788" t="s">
        <v>25</v>
      </c>
      <c r="L2788" t="s">
        <v>26</v>
      </c>
      <c r="M2788" t="b">
        <v>1</v>
      </c>
      <c r="N2788" t="s">
        <v>4151</v>
      </c>
      <c r="Q2788" t="b">
        <v>0</v>
      </c>
      <c r="S2788" t="str">
        <f>"9780310331759"</f>
        <v>9780310331759</v>
      </c>
      <c r="T2788" t="str">
        <f>"9780310331926"</f>
        <v>9780310331926</v>
      </c>
      <c r="U2788" t="b">
        <v>0</v>
      </c>
      <c r="W2788" t="b">
        <v>0</v>
      </c>
    </row>
    <row r="2789" spans="1:23" x14ac:dyDescent="0.3">
      <c r="A2789">
        <v>2979513</v>
      </c>
      <c r="B2789">
        <v>58.62</v>
      </c>
      <c r="C2789" t="s">
        <v>6176</v>
      </c>
      <c r="D2789" t="s">
        <v>6177</v>
      </c>
      <c r="E2789" t="s">
        <v>23</v>
      </c>
      <c r="F2789" t="s">
        <v>44</v>
      </c>
      <c r="G2789">
        <v>2017</v>
      </c>
      <c r="H2789" t="s">
        <v>69</v>
      </c>
      <c r="K2789" t="s">
        <v>25</v>
      </c>
      <c r="L2789" t="s">
        <v>26</v>
      </c>
      <c r="M2789" t="b">
        <v>1</v>
      </c>
      <c r="N2789" t="s">
        <v>6178</v>
      </c>
      <c r="Q2789" t="b">
        <v>0</v>
      </c>
      <c r="S2789" t="str">
        <f>"9780310347538"</f>
        <v>9780310347538</v>
      </c>
      <c r="T2789" t="str">
        <f>"9780310348467"</f>
        <v>9780310348467</v>
      </c>
      <c r="U2789" t="b">
        <v>0</v>
      </c>
      <c r="W2789" t="b">
        <v>0</v>
      </c>
    </row>
    <row r="2790" spans="1:23" x14ac:dyDescent="0.3">
      <c r="A2790">
        <v>2979512</v>
      </c>
      <c r="B2790">
        <v>62.07</v>
      </c>
      <c r="C2790" t="s">
        <v>6179</v>
      </c>
      <c r="D2790" t="s">
        <v>6180</v>
      </c>
      <c r="E2790" t="s">
        <v>23</v>
      </c>
      <c r="F2790" t="s">
        <v>44</v>
      </c>
      <c r="G2790">
        <v>2019</v>
      </c>
      <c r="H2790" t="s">
        <v>58</v>
      </c>
      <c r="K2790" t="s">
        <v>25</v>
      </c>
      <c r="L2790" t="s">
        <v>26</v>
      </c>
      <c r="M2790" t="b">
        <v>1</v>
      </c>
      <c r="N2790" t="s">
        <v>6181</v>
      </c>
      <c r="Q2790" t="b">
        <v>0</v>
      </c>
      <c r="S2790" t="str">
        <f>"9780310357162"</f>
        <v>9780310357162</v>
      </c>
      <c r="T2790" t="str">
        <f>"9780310357315"</f>
        <v>9780310357315</v>
      </c>
      <c r="U2790" t="b">
        <v>0</v>
      </c>
      <c r="W2790" t="b">
        <v>0</v>
      </c>
    </row>
    <row r="2791" spans="1:23" x14ac:dyDescent="0.3">
      <c r="A2791">
        <v>2979511</v>
      </c>
      <c r="B2791">
        <v>100.02</v>
      </c>
      <c r="C2791" t="s">
        <v>6182</v>
      </c>
      <c r="D2791" t="s">
        <v>6183</v>
      </c>
      <c r="E2791" t="s">
        <v>23</v>
      </c>
      <c r="F2791" t="s">
        <v>44</v>
      </c>
      <c r="G2791">
        <v>2020</v>
      </c>
      <c r="H2791" t="s">
        <v>5177</v>
      </c>
      <c r="K2791" t="s">
        <v>25</v>
      </c>
      <c r="L2791" t="s">
        <v>26</v>
      </c>
      <c r="M2791" t="b">
        <v>1</v>
      </c>
      <c r="N2791" t="s">
        <v>5223</v>
      </c>
      <c r="Q2791" t="b">
        <v>0</v>
      </c>
      <c r="S2791" t="str">
        <f>"9780310351931"</f>
        <v>9780310351931</v>
      </c>
      <c r="T2791" t="str">
        <f>"9780310351061"</f>
        <v>9780310351061</v>
      </c>
      <c r="U2791" t="b">
        <v>0</v>
      </c>
      <c r="W2791" t="b">
        <v>0</v>
      </c>
    </row>
    <row r="2792" spans="1:23" x14ac:dyDescent="0.3">
      <c r="A2792">
        <v>2979510</v>
      </c>
      <c r="B2792">
        <v>55.17</v>
      </c>
      <c r="C2792" t="s">
        <v>6184</v>
      </c>
      <c r="E2792" t="s">
        <v>23</v>
      </c>
      <c r="F2792" t="s">
        <v>44</v>
      </c>
      <c r="G2792">
        <v>2020</v>
      </c>
      <c r="H2792" t="s">
        <v>772</v>
      </c>
      <c r="K2792" t="s">
        <v>25</v>
      </c>
      <c r="L2792" t="s">
        <v>26</v>
      </c>
      <c r="M2792" t="b">
        <v>1</v>
      </c>
      <c r="N2792" t="s">
        <v>776</v>
      </c>
      <c r="P2792" t="s">
        <v>1065</v>
      </c>
      <c r="Q2792" t="b">
        <v>1</v>
      </c>
      <c r="S2792" t="str">
        <f>"9780310356509"</f>
        <v>9780310356509</v>
      </c>
      <c r="T2792" t="str">
        <f>"9780310356493"</f>
        <v>9780310356493</v>
      </c>
      <c r="U2792" t="b">
        <v>0</v>
      </c>
      <c r="W2792" t="b">
        <v>0</v>
      </c>
    </row>
    <row r="2793" spans="1:23" x14ac:dyDescent="0.3">
      <c r="A2793">
        <v>2979509</v>
      </c>
      <c r="B2793">
        <v>58.62</v>
      </c>
      <c r="C2793" t="s">
        <v>3237</v>
      </c>
      <c r="D2793" t="s">
        <v>3238</v>
      </c>
      <c r="E2793" t="s">
        <v>23</v>
      </c>
      <c r="F2793" t="s">
        <v>44</v>
      </c>
      <c r="G2793">
        <v>2018</v>
      </c>
      <c r="H2793" t="s">
        <v>132</v>
      </c>
      <c r="K2793" t="s">
        <v>25</v>
      </c>
      <c r="L2793" t="s">
        <v>26</v>
      </c>
      <c r="M2793" t="b">
        <v>1</v>
      </c>
      <c r="N2793" t="s">
        <v>2641</v>
      </c>
      <c r="Q2793" t="b">
        <v>0</v>
      </c>
      <c r="S2793" t="str">
        <f>"9780310090694"</f>
        <v>9780310090694</v>
      </c>
      <c r="T2793" t="str">
        <f>"9780310090700"</f>
        <v>9780310090700</v>
      </c>
      <c r="U2793" t="b">
        <v>0</v>
      </c>
      <c r="W2793" t="b">
        <v>0</v>
      </c>
    </row>
    <row r="2794" spans="1:23" x14ac:dyDescent="0.3">
      <c r="A2794">
        <v>2979508</v>
      </c>
      <c r="B2794">
        <v>17.73</v>
      </c>
      <c r="C2794" t="s">
        <v>6185</v>
      </c>
      <c r="E2794" t="s">
        <v>23</v>
      </c>
      <c r="F2794" t="s">
        <v>44</v>
      </c>
      <c r="G2794">
        <v>2009</v>
      </c>
      <c r="H2794" t="s">
        <v>714</v>
      </c>
      <c r="K2794" t="s">
        <v>25</v>
      </c>
      <c r="L2794" t="s">
        <v>30</v>
      </c>
      <c r="M2794" t="b">
        <v>1</v>
      </c>
      <c r="N2794" t="s">
        <v>83</v>
      </c>
      <c r="P2794" t="s">
        <v>1290</v>
      </c>
      <c r="Q2794" t="b">
        <v>1</v>
      </c>
      <c r="T2794" t="str">
        <f>"9780310303404"</f>
        <v>9780310303404</v>
      </c>
      <c r="U2794" t="b">
        <v>0</v>
      </c>
      <c r="W2794" t="b">
        <v>0</v>
      </c>
    </row>
    <row r="2795" spans="1:23" x14ac:dyDescent="0.3">
      <c r="A2795">
        <v>2979507</v>
      </c>
      <c r="B2795">
        <v>10.32</v>
      </c>
      <c r="C2795" t="s">
        <v>6186</v>
      </c>
      <c r="D2795" t="s">
        <v>6187</v>
      </c>
      <c r="E2795" t="s">
        <v>23</v>
      </c>
      <c r="F2795" t="s">
        <v>44</v>
      </c>
      <c r="G2795">
        <v>2013</v>
      </c>
      <c r="H2795" t="s">
        <v>58</v>
      </c>
      <c r="K2795" t="s">
        <v>25</v>
      </c>
      <c r="L2795" t="s">
        <v>30</v>
      </c>
      <c r="M2795" t="b">
        <v>1</v>
      </c>
      <c r="N2795" t="s">
        <v>419</v>
      </c>
      <c r="Q2795" t="b">
        <v>0</v>
      </c>
      <c r="S2795" t="str">
        <f>"9780310337874"</f>
        <v>9780310337874</v>
      </c>
      <c r="T2795" t="str">
        <f>"9780310337881"</f>
        <v>9780310337881</v>
      </c>
      <c r="U2795" t="b">
        <v>0</v>
      </c>
      <c r="W2795" t="b">
        <v>0</v>
      </c>
    </row>
    <row r="2796" spans="1:23" x14ac:dyDescent="0.3">
      <c r="A2796">
        <v>2979506</v>
      </c>
      <c r="B2796">
        <v>55.17</v>
      </c>
      <c r="C2796" t="s">
        <v>6188</v>
      </c>
      <c r="E2796" t="s">
        <v>23</v>
      </c>
      <c r="F2796" t="s">
        <v>44</v>
      </c>
      <c r="G2796">
        <v>2016</v>
      </c>
      <c r="H2796" t="s">
        <v>66</v>
      </c>
      <c r="K2796" t="s">
        <v>25</v>
      </c>
      <c r="L2796" t="s">
        <v>26</v>
      </c>
      <c r="M2796" t="b">
        <v>1</v>
      </c>
      <c r="N2796" t="s">
        <v>2865</v>
      </c>
      <c r="P2796" t="s">
        <v>5140</v>
      </c>
      <c r="Q2796" t="b">
        <v>1</v>
      </c>
      <c r="S2796" t="str">
        <f>"9780310338079"</f>
        <v>9780310338079</v>
      </c>
      <c r="T2796" t="str">
        <f>"9780310338093"</f>
        <v>9780310338093</v>
      </c>
      <c r="U2796" t="b">
        <v>0</v>
      </c>
      <c r="W2796" t="b">
        <v>0</v>
      </c>
    </row>
    <row r="2797" spans="1:23" x14ac:dyDescent="0.3">
      <c r="A2797">
        <v>2979505</v>
      </c>
      <c r="B2797">
        <v>44.82</v>
      </c>
      <c r="C2797" t="s">
        <v>6189</v>
      </c>
      <c r="D2797" t="s">
        <v>6190</v>
      </c>
      <c r="E2797" t="s">
        <v>23</v>
      </c>
      <c r="F2797" t="s">
        <v>44</v>
      </c>
      <c r="G2797">
        <v>2016</v>
      </c>
      <c r="H2797" t="s">
        <v>728</v>
      </c>
      <c r="K2797" t="s">
        <v>25</v>
      </c>
      <c r="L2797" t="s">
        <v>26</v>
      </c>
      <c r="M2797" t="b">
        <v>1</v>
      </c>
      <c r="N2797" t="s">
        <v>6191</v>
      </c>
      <c r="P2797" t="s">
        <v>2785</v>
      </c>
      <c r="Q2797" t="b">
        <v>1</v>
      </c>
      <c r="S2797" t="str">
        <f>"9780310395935"</f>
        <v>9780310395935</v>
      </c>
      <c r="T2797" t="str">
        <f>"9780310395898"</f>
        <v>9780310395898</v>
      </c>
      <c r="U2797" t="b">
        <v>0</v>
      </c>
      <c r="W2797" t="b">
        <v>0</v>
      </c>
    </row>
    <row r="2798" spans="1:23" x14ac:dyDescent="0.3">
      <c r="A2798">
        <v>2979504</v>
      </c>
      <c r="B2798">
        <v>42.61</v>
      </c>
      <c r="C2798" t="s">
        <v>6192</v>
      </c>
      <c r="D2798" t="s">
        <v>6193</v>
      </c>
      <c r="E2798" t="s">
        <v>23</v>
      </c>
      <c r="F2798" t="s">
        <v>44</v>
      </c>
      <c r="G2798">
        <v>2014</v>
      </c>
      <c r="H2798" t="s">
        <v>58</v>
      </c>
      <c r="K2798" t="s">
        <v>25</v>
      </c>
      <c r="L2798" t="s">
        <v>30</v>
      </c>
      <c r="M2798" t="b">
        <v>1</v>
      </c>
      <c r="N2798" t="s">
        <v>2616</v>
      </c>
      <c r="Q2798" t="b">
        <v>0</v>
      </c>
      <c r="T2798" t="str">
        <f>"9780310340928"</f>
        <v>9780310340928</v>
      </c>
      <c r="U2798" t="b">
        <v>0</v>
      </c>
      <c r="W2798" t="b">
        <v>0</v>
      </c>
    </row>
    <row r="2799" spans="1:23" x14ac:dyDescent="0.3">
      <c r="A2799">
        <v>2979503</v>
      </c>
      <c r="B2799">
        <v>14.18</v>
      </c>
      <c r="C2799" t="s">
        <v>6194</v>
      </c>
      <c r="D2799" t="s">
        <v>2707</v>
      </c>
      <c r="E2799" t="s">
        <v>23</v>
      </c>
      <c r="F2799" t="s">
        <v>44</v>
      </c>
      <c r="G2799">
        <v>2018</v>
      </c>
      <c r="H2799" t="s">
        <v>772</v>
      </c>
      <c r="K2799" t="s">
        <v>25</v>
      </c>
      <c r="L2799" t="s">
        <v>30</v>
      </c>
      <c r="M2799" t="b">
        <v>1</v>
      </c>
      <c r="N2799" t="s">
        <v>776</v>
      </c>
      <c r="Q2799" t="b">
        <v>1</v>
      </c>
      <c r="T2799" t="str">
        <f>"9780310351986"</f>
        <v>9780310351986</v>
      </c>
      <c r="U2799" t="b">
        <v>0</v>
      </c>
      <c r="W2799" t="b">
        <v>0</v>
      </c>
    </row>
    <row r="2800" spans="1:23" x14ac:dyDescent="0.3">
      <c r="A2800">
        <v>2979502</v>
      </c>
      <c r="B2800">
        <v>27.57</v>
      </c>
      <c r="C2800" t="s">
        <v>6195</v>
      </c>
      <c r="E2800" t="s">
        <v>23</v>
      </c>
      <c r="F2800" t="s">
        <v>44</v>
      </c>
      <c r="G2800">
        <v>2009</v>
      </c>
      <c r="H2800" t="s">
        <v>1746</v>
      </c>
      <c r="K2800" t="s">
        <v>25</v>
      </c>
      <c r="L2800" t="s">
        <v>30</v>
      </c>
      <c r="M2800" t="b">
        <v>1</v>
      </c>
      <c r="N2800" t="s">
        <v>1346</v>
      </c>
      <c r="P2800" t="s">
        <v>1347</v>
      </c>
      <c r="Q2800" t="b">
        <v>1</v>
      </c>
      <c r="S2800" t="str">
        <f>"9780310717935"</f>
        <v>9780310717935</v>
      </c>
      <c r="T2800" t="str">
        <f>"9780310863342"</f>
        <v>9780310863342</v>
      </c>
      <c r="U2800" t="b">
        <v>0</v>
      </c>
      <c r="W2800" t="b">
        <v>0</v>
      </c>
    </row>
    <row r="2801" spans="1:23" x14ac:dyDescent="0.3">
      <c r="A2801">
        <v>2979501</v>
      </c>
      <c r="B2801">
        <v>71.03</v>
      </c>
      <c r="C2801" t="s">
        <v>6196</v>
      </c>
      <c r="D2801" t="s">
        <v>6197</v>
      </c>
      <c r="E2801" t="s">
        <v>23</v>
      </c>
      <c r="F2801" t="s">
        <v>44</v>
      </c>
      <c r="G2801">
        <v>2020</v>
      </c>
      <c r="H2801" t="s">
        <v>66</v>
      </c>
      <c r="K2801" t="s">
        <v>25</v>
      </c>
      <c r="L2801" t="s">
        <v>30</v>
      </c>
      <c r="M2801" t="b">
        <v>1</v>
      </c>
      <c r="N2801" t="s">
        <v>4039</v>
      </c>
      <c r="P2801" t="s">
        <v>4611</v>
      </c>
      <c r="Q2801" t="b">
        <v>1</v>
      </c>
      <c r="T2801" t="str">
        <f>"9780310355960"</f>
        <v>9780310355960</v>
      </c>
      <c r="U2801" t="b">
        <v>0</v>
      </c>
      <c r="W2801" t="b">
        <v>0</v>
      </c>
    </row>
    <row r="2802" spans="1:23" x14ac:dyDescent="0.3">
      <c r="A2802">
        <v>2979500</v>
      </c>
      <c r="B2802">
        <v>62.07</v>
      </c>
      <c r="C2802" t="s">
        <v>6198</v>
      </c>
      <c r="D2802" t="s">
        <v>6199</v>
      </c>
      <c r="E2802" t="s">
        <v>23</v>
      </c>
      <c r="F2802" t="s">
        <v>44</v>
      </c>
      <c r="G2802">
        <v>2019</v>
      </c>
      <c r="H2802" t="s">
        <v>58</v>
      </c>
      <c r="K2802" t="s">
        <v>25</v>
      </c>
      <c r="L2802" t="s">
        <v>26</v>
      </c>
      <c r="M2802" t="b">
        <v>1</v>
      </c>
      <c r="N2802" t="s">
        <v>4819</v>
      </c>
      <c r="Q2802" t="b">
        <v>0</v>
      </c>
      <c r="S2802" t="str">
        <f>"9780310343400"</f>
        <v>9780310343400</v>
      </c>
      <c r="T2802" t="str">
        <f>"9780310343424"</f>
        <v>9780310343424</v>
      </c>
      <c r="U2802" t="b">
        <v>0</v>
      </c>
      <c r="W2802" t="b">
        <v>0</v>
      </c>
    </row>
    <row r="2803" spans="1:23" x14ac:dyDescent="0.3">
      <c r="A2803">
        <v>2979499</v>
      </c>
      <c r="B2803">
        <v>51.72</v>
      </c>
      <c r="C2803" t="s">
        <v>6200</v>
      </c>
      <c r="D2803" t="s">
        <v>6201</v>
      </c>
      <c r="E2803" t="s">
        <v>23</v>
      </c>
      <c r="F2803" t="s">
        <v>44</v>
      </c>
      <c r="G2803">
        <v>2009</v>
      </c>
      <c r="H2803" t="s">
        <v>58</v>
      </c>
      <c r="K2803" t="s">
        <v>25</v>
      </c>
      <c r="L2803" t="s">
        <v>30</v>
      </c>
      <c r="M2803" t="b">
        <v>1</v>
      </c>
      <c r="N2803" t="s">
        <v>6202</v>
      </c>
      <c r="Q2803" t="b">
        <v>0</v>
      </c>
      <c r="S2803" t="str">
        <f>"9780310289524"</f>
        <v>9780310289524</v>
      </c>
      <c r="T2803" t="str">
        <f>"9780310863809"</f>
        <v>9780310863809</v>
      </c>
      <c r="U2803" t="b">
        <v>0</v>
      </c>
      <c r="W2803" t="b">
        <v>0</v>
      </c>
    </row>
    <row r="2804" spans="1:23" x14ac:dyDescent="0.3">
      <c r="A2804">
        <v>2979498</v>
      </c>
      <c r="B2804">
        <v>39.049999999999997</v>
      </c>
      <c r="C2804" t="s">
        <v>6203</v>
      </c>
      <c r="E2804" t="s">
        <v>23</v>
      </c>
      <c r="F2804" t="s">
        <v>44</v>
      </c>
      <c r="G2804">
        <v>2009</v>
      </c>
      <c r="H2804" t="s">
        <v>66</v>
      </c>
      <c r="K2804" t="s">
        <v>25</v>
      </c>
      <c r="L2804" t="s">
        <v>30</v>
      </c>
      <c r="M2804" t="b">
        <v>1</v>
      </c>
      <c r="N2804" t="s">
        <v>6204</v>
      </c>
      <c r="P2804" t="s">
        <v>6205</v>
      </c>
      <c r="Q2804" t="b">
        <v>1</v>
      </c>
      <c r="T2804" t="str">
        <f>"9780310861089"</f>
        <v>9780310861089</v>
      </c>
      <c r="U2804" t="b">
        <v>0</v>
      </c>
      <c r="W2804" t="b">
        <v>0</v>
      </c>
    </row>
    <row r="2805" spans="1:23" x14ac:dyDescent="0.3">
      <c r="A2805">
        <v>2979497</v>
      </c>
      <c r="B2805">
        <v>51.72</v>
      </c>
      <c r="C2805" t="s">
        <v>6206</v>
      </c>
      <c r="D2805" t="s">
        <v>1405</v>
      </c>
      <c r="E2805" t="s">
        <v>23</v>
      </c>
      <c r="F2805" t="s">
        <v>44</v>
      </c>
      <c r="G2805">
        <v>2010</v>
      </c>
      <c r="H2805" t="s">
        <v>74</v>
      </c>
      <c r="K2805" t="s">
        <v>25</v>
      </c>
      <c r="L2805" t="s">
        <v>30</v>
      </c>
      <c r="M2805" t="b">
        <v>1</v>
      </c>
      <c r="N2805" t="s">
        <v>6061</v>
      </c>
      <c r="Q2805" t="b">
        <v>1</v>
      </c>
      <c r="S2805" t="str">
        <f>"9780310289456"</f>
        <v>9780310289456</v>
      </c>
      <c r="T2805" t="str">
        <f>"9780310562269"</f>
        <v>9780310562269</v>
      </c>
      <c r="U2805" t="b">
        <v>0</v>
      </c>
      <c r="W2805" t="b">
        <v>0</v>
      </c>
    </row>
    <row r="2806" spans="1:23" x14ac:dyDescent="0.3">
      <c r="A2806">
        <v>2979496</v>
      </c>
      <c r="B2806">
        <v>62.07</v>
      </c>
      <c r="C2806" t="s">
        <v>6207</v>
      </c>
      <c r="D2806" t="s">
        <v>6208</v>
      </c>
      <c r="E2806" t="s">
        <v>23</v>
      </c>
      <c r="F2806" t="s">
        <v>44</v>
      </c>
      <c r="G2806">
        <v>2019</v>
      </c>
      <c r="H2806" t="s">
        <v>99</v>
      </c>
      <c r="K2806" t="s">
        <v>25</v>
      </c>
      <c r="L2806" t="s">
        <v>26</v>
      </c>
      <c r="M2806" t="b">
        <v>1</v>
      </c>
      <c r="N2806" t="s">
        <v>5589</v>
      </c>
      <c r="Q2806" t="b">
        <v>0</v>
      </c>
      <c r="S2806" t="str">
        <f>"9780310219309"</f>
        <v>9780310219309</v>
      </c>
      <c r="T2806" t="str">
        <f>"9780310359463"</f>
        <v>9780310359463</v>
      </c>
      <c r="U2806" t="b">
        <v>0</v>
      </c>
      <c r="W2806" t="b">
        <v>0</v>
      </c>
    </row>
    <row r="2807" spans="1:23" x14ac:dyDescent="0.3">
      <c r="A2807">
        <v>2979495</v>
      </c>
      <c r="B2807">
        <v>24.12</v>
      </c>
      <c r="C2807" t="s">
        <v>6209</v>
      </c>
      <c r="D2807" t="s">
        <v>6210</v>
      </c>
      <c r="E2807" t="s">
        <v>23</v>
      </c>
      <c r="F2807" t="s">
        <v>44</v>
      </c>
      <c r="G2807">
        <v>2009</v>
      </c>
      <c r="H2807" t="s">
        <v>716</v>
      </c>
      <c r="K2807" t="s">
        <v>25</v>
      </c>
      <c r="L2807" t="s">
        <v>30</v>
      </c>
      <c r="M2807" t="b">
        <v>1</v>
      </c>
      <c r="N2807" t="s">
        <v>4587</v>
      </c>
      <c r="P2807" t="s">
        <v>4588</v>
      </c>
      <c r="Q2807" t="b">
        <v>1</v>
      </c>
      <c r="S2807" t="str">
        <f>"9780310714279"</f>
        <v>9780310714279</v>
      </c>
      <c r="T2807" t="str">
        <f>"9780310861843"</f>
        <v>9780310861843</v>
      </c>
      <c r="U2807" t="b">
        <v>0</v>
      </c>
      <c r="W2807" t="b">
        <v>0</v>
      </c>
    </row>
    <row r="2808" spans="1:23" x14ac:dyDescent="0.3">
      <c r="A2808">
        <v>2979494</v>
      </c>
      <c r="B2808">
        <v>55.17</v>
      </c>
      <c r="C2808" t="s">
        <v>6211</v>
      </c>
      <c r="E2808" t="s">
        <v>23</v>
      </c>
      <c r="F2808" t="s">
        <v>44</v>
      </c>
      <c r="G2808">
        <v>2014</v>
      </c>
      <c r="H2808" t="s">
        <v>728</v>
      </c>
      <c r="K2808" t="s">
        <v>25</v>
      </c>
      <c r="L2808" t="s">
        <v>30</v>
      </c>
      <c r="M2808" t="b">
        <v>1</v>
      </c>
      <c r="N2808" t="s">
        <v>741</v>
      </c>
      <c r="Q2808" t="b">
        <v>1</v>
      </c>
      <c r="S2808" t="str">
        <f>"9780310259275"</f>
        <v>9780310259275</v>
      </c>
      <c r="T2808" t="str">
        <f>"9780310411710"</f>
        <v>9780310411710</v>
      </c>
      <c r="U2808" t="b">
        <v>0</v>
      </c>
      <c r="W2808" t="b">
        <v>0</v>
      </c>
    </row>
    <row r="2809" spans="1:23" x14ac:dyDescent="0.3">
      <c r="A2809">
        <v>2979493</v>
      </c>
      <c r="B2809">
        <v>14.18</v>
      </c>
      <c r="C2809" t="s">
        <v>6212</v>
      </c>
      <c r="D2809" t="s">
        <v>2659</v>
      </c>
      <c r="E2809" t="s">
        <v>23</v>
      </c>
      <c r="F2809" t="s">
        <v>44</v>
      </c>
      <c r="G2809">
        <v>2018</v>
      </c>
      <c r="H2809" t="s">
        <v>772</v>
      </c>
      <c r="K2809" t="s">
        <v>25</v>
      </c>
      <c r="L2809" t="s">
        <v>30</v>
      </c>
      <c r="M2809" t="b">
        <v>1</v>
      </c>
      <c r="N2809" t="s">
        <v>3973</v>
      </c>
      <c r="Q2809" t="b">
        <v>1</v>
      </c>
      <c r="T2809" t="str">
        <f>"9780785218340"</f>
        <v>9780785218340</v>
      </c>
      <c r="U2809" t="b">
        <v>0</v>
      </c>
      <c r="W2809" t="b">
        <v>0</v>
      </c>
    </row>
    <row r="2810" spans="1:23" x14ac:dyDescent="0.3">
      <c r="A2810">
        <v>2979492</v>
      </c>
      <c r="B2810">
        <v>44.82</v>
      </c>
      <c r="C2810" t="s">
        <v>6213</v>
      </c>
      <c r="E2810" t="s">
        <v>23</v>
      </c>
      <c r="F2810" t="s">
        <v>44</v>
      </c>
      <c r="G2810">
        <v>2009</v>
      </c>
      <c r="H2810" t="s">
        <v>74</v>
      </c>
      <c r="K2810" t="s">
        <v>25</v>
      </c>
      <c r="L2810" t="s">
        <v>30</v>
      </c>
      <c r="M2810" t="b">
        <v>1</v>
      </c>
      <c r="N2810" t="s">
        <v>3728</v>
      </c>
      <c r="P2810" t="s">
        <v>3729</v>
      </c>
      <c r="Q2810" t="b">
        <v>1</v>
      </c>
      <c r="S2810" t="str">
        <f>"9780310242987"</f>
        <v>9780310242987</v>
      </c>
      <c r="T2810" t="str">
        <f>"9780310863892"</f>
        <v>9780310863892</v>
      </c>
      <c r="U2810" t="b">
        <v>0</v>
      </c>
      <c r="W2810" t="b">
        <v>0</v>
      </c>
    </row>
    <row r="2811" spans="1:23" x14ac:dyDescent="0.3">
      <c r="A2811">
        <v>2979491</v>
      </c>
      <c r="B2811">
        <v>46.16</v>
      </c>
      <c r="C2811" t="s">
        <v>6214</v>
      </c>
      <c r="D2811" t="s">
        <v>6215</v>
      </c>
      <c r="E2811" t="s">
        <v>23</v>
      </c>
      <c r="F2811" t="s">
        <v>44</v>
      </c>
      <c r="G2811">
        <v>2014</v>
      </c>
      <c r="H2811" t="s">
        <v>56</v>
      </c>
      <c r="K2811" t="s">
        <v>25</v>
      </c>
      <c r="L2811" t="s">
        <v>30</v>
      </c>
      <c r="M2811" t="b">
        <v>1</v>
      </c>
      <c r="N2811" t="s">
        <v>5007</v>
      </c>
      <c r="Q2811" t="b">
        <v>0</v>
      </c>
      <c r="T2811" t="str">
        <f>"9780310339953"</f>
        <v>9780310339953</v>
      </c>
      <c r="U2811" t="b">
        <v>0</v>
      </c>
      <c r="W2811" t="b">
        <v>0</v>
      </c>
    </row>
    <row r="2812" spans="1:23" x14ac:dyDescent="0.3">
      <c r="A2812">
        <v>2979490</v>
      </c>
      <c r="B2812">
        <v>58.62</v>
      </c>
      <c r="C2812" t="s">
        <v>6216</v>
      </c>
      <c r="D2812" t="s">
        <v>6217</v>
      </c>
      <c r="E2812" t="s">
        <v>23</v>
      </c>
      <c r="F2812" t="s">
        <v>44</v>
      </c>
      <c r="G2812">
        <v>2020</v>
      </c>
      <c r="H2812" t="s">
        <v>132</v>
      </c>
      <c r="K2812" t="s">
        <v>25</v>
      </c>
      <c r="L2812" t="s">
        <v>26</v>
      </c>
      <c r="M2812" t="b">
        <v>1</v>
      </c>
      <c r="N2812" t="s">
        <v>44</v>
      </c>
      <c r="Q2812" t="b">
        <v>0</v>
      </c>
      <c r="S2812" t="str">
        <f>"9780310455356"</f>
        <v>9780310455356</v>
      </c>
      <c r="T2812" t="str">
        <f>"9780310455691"</f>
        <v>9780310455691</v>
      </c>
      <c r="U2812" t="b">
        <v>0</v>
      </c>
      <c r="W2812" t="b">
        <v>0</v>
      </c>
    </row>
    <row r="2813" spans="1:23" x14ac:dyDescent="0.3">
      <c r="A2813">
        <v>2979489</v>
      </c>
      <c r="B2813">
        <v>62.07</v>
      </c>
      <c r="C2813" t="s">
        <v>6218</v>
      </c>
      <c r="D2813" t="s">
        <v>6219</v>
      </c>
      <c r="E2813" t="s">
        <v>23</v>
      </c>
      <c r="F2813" t="s">
        <v>44</v>
      </c>
      <c r="G2813">
        <v>2021</v>
      </c>
      <c r="H2813" t="s">
        <v>115</v>
      </c>
      <c r="I2813" t="s">
        <v>6220</v>
      </c>
      <c r="J2813" t="s">
        <v>6221</v>
      </c>
      <c r="K2813" t="s">
        <v>25</v>
      </c>
      <c r="L2813" t="s">
        <v>26</v>
      </c>
      <c r="M2813" t="b">
        <v>1</v>
      </c>
      <c r="N2813" t="s">
        <v>6222</v>
      </c>
      <c r="O2813" t="str">
        <f>"DOWNLOADABLE eBOOK"</f>
        <v>DOWNLOADABLE eBOOK</v>
      </c>
      <c r="Q2813" t="b">
        <v>0</v>
      </c>
      <c r="S2813" t="str">
        <f>"9780310109082"</f>
        <v>9780310109082</v>
      </c>
      <c r="T2813" t="str">
        <f>"9780310109099"</f>
        <v>9780310109099</v>
      </c>
      <c r="U2813" t="b">
        <v>0</v>
      </c>
      <c r="W2813" t="b">
        <v>0</v>
      </c>
    </row>
    <row r="2814" spans="1:23" x14ac:dyDescent="0.3">
      <c r="A2814">
        <v>2979488</v>
      </c>
      <c r="B2814">
        <v>65.52</v>
      </c>
      <c r="C2814" t="s">
        <v>6223</v>
      </c>
      <c r="D2814" t="s">
        <v>6224</v>
      </c>
      <c r="E2814" t="s">
        <v>23</v>
      </c>
      <c r="F2814" t="s">
        <v>44</v>
      </c>
      <c r="G2814">
        <v>2013</v>
      </c>
      <c r="H2814" t="s">
        <v>58</v>
      </c>
      <c r="K2814" t="s">
        <v>25</v>
      </c>
      <c r="L2814" t="s">
        <v>26</v>
      </c>
      <c r="M2814" t="b">
        <v>1</v>
      </c>
      <c r="N2814" t="s">
        <v>1017</v>
      </c>
      <c r="Q2814" t="b">
        <v>0</v>
      </c>
      <c r="S2814" t="str">
        <f>"9780310361091"</f>
        <v>9780310361091</v>
      </c>
      <c r="T2814" t="str">
        <f>"9780310598879"</f>
        <v>9780310598879</v>
      </c>
      <c r="U2814" t="b">
        <v>0</v>
      </c>
      <c r="W2814" t="b">
        <v>0</v>
      </c>
    </row>
    <row r="2815" spans="1:23" x14ac:dyDescent="0.3">
      <c r="A2815">
        <v>2979487</v>
      </c>
      <c r="B2815">
        <v>58.62</v>
      </c>
      <c r="C2815" t="s">
        <v>6225</v>
      </c>
      <c r="D2815" t="s">
        <v>6226</v>
      </c>
      <c r="E2815" t="s">
        <v>23</v>
      </c>
      <c r="F2815" t="s">
        <v>44</v>
      </c>
      <c r="G2815">
        <v>2018</v>
      </c>
      <c r="H2815" t="s">
        <v>56</v>
      </c>
      <c r="K2815" t="s">
        <v>25</v>
      </c>
      <c r="L2815" t="s">
        <v>26</v>
      </c>
      <c r="M2815" t="b">
        <v>1</v>
      </c>
      <c r="N2815" t="s">
        <v>4654</v>
      </c>
      <c r="Q2815" t="b">
        <v>0</v>
      </c>
      <c r="S2815" t="str">
        <f>"9780310349457"</f>
        <v>9780310349457</v>
      </c>
      <c r="T2815" t="str">
        <f>"9780310349464"</f>
        <v>9780310349464</v>
      </c>
      <c r="U2815" t="b">
        <v>0</v>
      </c>
      <c r="W2815" t="b">
        <v>0</v>
      </c>
    </row>
    <row r="2816" spans="1:23" x14ac:dyDescent="0.3">
      <c r="A2816">
        <v>2979486</v>
      </c>
      <c r="B2816">
        <v>58.62</v>
      </c>
      <c r="C2816" t="s">
        <v>6227</v>
      </c>
      <c r="E2816" t="s">
        <v>23</v>
      </c>
      <c r="F2816" t="s">
        <v>44</v>
      </c>
      <c r="G2816">
        <v>2012</v>
      </c>
      <c r="H2816" t="s">
        <v>66</v>
      </c>
      <c r="K2816" t="s">
        <v>25</v>
      </c>
      <c r="L2816" t="s">
        <v>26</v>
      </c>
      <c r="M2816" t="b">
        <v>1</v>
      </c>
      <c r="N2816" t="s">
        <v>77</v>
      </c>
      <c r="P2816" t="s">
        <v>3693</v>
      </c>
      <c r="Q2816" t="b">
        <v>1</v>
      </c>
      <c r="S2816" t="str">
        <f>"9780785238294"</f>
        <v>9780785238294</v>
      </c>
      <c r="T2816" t="str">
        <f>"9780310289272"</f>
        <v>9780310289272</v>
      </c>
      <c r="U2816" t="b">
        <v>0</v>
      </c>
      <c r="W2816" t="b">
        <v>0</v>
      </c>
    </row>
    <row r="2817" spans="1:23" x14ac:dyDescent="0.3">
      <c r="A2817">
        <v>2979485</v>
      </c>
      <c r="B2817">
        <v>55.17</v>
      </c>
      <c r="C2817" t="s">
        <v>6228</v>
      </c>
      <c r="E2817" t="s">
        <v>23</v>
      </c>
      <c r="F2817" t="s">
        <v>44</v>
      </c>
      <c r="G2817">
        <v>2014</v>
      </c>
      <c r="H2817" t="s">
        <v>728</v>
      </c>
      <c r="K2817" t="s">
        <v>25</v>
      </c>
      <c r="L2817" t="s">
        <v>30</v>
      </c>
      <c r="M2817" t="b">
        <v>1</v>
      </c>
      <c r="N2817" t="s">
        <v>3144</v>
      </c>
      <c r="P2817" t="s">
        <v>3145</v>
      </c>
      <c r="Q2817" t="b">
        <v>1</v>
      </c>
      <c r="S2817" t="str">
        <f>"9780310335153"</f>
        <v>9780310335153</v>
      </c>
      <c r="T2817" t="str">
        <f>"9780310335160"</f>
        <v>9780310335160</v>
      </c>
      <c r="U2817" t="b">
        <v>0</v>
      </c>
      <c r="W2817" t="b">
        <v>0</v>
      </c>
    </row>
    <row r="2818" spans="1:23" x14ac:dyDescent="0.3">
      <c r="A2818">
        <v>2979484</v>
      </c>
      <c r="B2818">
        <v>58.62</v>
      </c>
      <c r="C2818" t="s">
        <v>6229</v>
      </c>
      <c r="D2818" t="s">
        <v>6230</v>
      </c>
      <c r="E2818" t="s">
        <v>23</v>
      </c>
      <c r="F2818" t="s">
        <v>44</v>
      </c>
      <c r="G2818">
        <v>2013</v>
      </c>
      <c r="H2818" t="s">
        <v>69</v>
      </c>
      <c r="K2818" t="s">
        <v>25</v>
      </c>
      <c r="L2818" t="s">
        <v>30</v>
      </c>
      <c r="M2818" t="b">
        <v>1</v>
      </c>
      <c r="N2818" t="s">
        <v>2223</v>
      </c>
      <c r="Q2818" t="b">
        <v>0</v>
      </c>
      <c r="S2818" t="str">
        <f>"9780310336877"</f>
        <v>9780310336877</v>
      </c>
      <c r="T2818" t="str">
        <f>"9780310337041"</f>
        <v>9780310337041</v>
      </c>
      <c r="U2818" t="b">
        <v>0</v>
      </c>
      <c r="W2818" t="b">
        <v>0</v>
      </c>
    </row>
    <row r="2819" spans="1:23" x14ac:dyDescent="0.3">
      <c r="A2819">
        <v>2979483</v>
      </c>
      <c r="B2819">
        <v>55.17</v>
      </c>
      <c r="C2819" t="s">
        <v>6231</v>
      </c>
      <c r="D2819" t="s">
        <v>6232</v>
      </c>
      <c r="E2819" t="s">
        <v>23</v>
      </c>
      <c r="F2819" t="s">
        <v>44</v>
      </c>
      <c r="G2819">
        <v>2009</v>
      </c>
      <c r="H2819" t="s">
        <v>69</v>
      </c>
      <c r="K2819" t="s">
        <v>25</v>
      </c>
      <c r="L2819" t="s">
        <v>26</v>
      </c>
      <c r="M2819" t="b">
        <v>1</v>
      </c>
      <c r="N2819" t="s">
        <v>2846</v>
      </c>
      <c r="Q2819" t="b">
        <v>0</v>
      </c>
      <c r="S2819" t="str">
        <f>"9780310327790"</f>
        <v>9780310327790</v>
      </c>
      <c r="T2819" t="str">
        <f>"9780310566670"</f>
        <v>9780310566670</v>
      </c>
      <c r="U2819" t="b">
        <v>0</v>
      </c>
      <c r="W2819" t="b">
        <v>0</v>
      </c>
    </row>
    <row r="2820" spans="1:23" x14ac:dyDescent="0.3">
      <c r="A2820">
        <v>2979482</v>
      </c>
      <c r="B2820">
        <v>42.61</v>
      </c>
      <c r="C2820" t="s">
        <v>6233</v>
      </c>
      <c r="D2820" t="s">
        <v>6234</v>
      </c>
      <c r="E2820" t="s">
        <v>23</v>
      </c>
      <c r="F2820" t="s">
        <v>44</v>
      </c>
      <c r="G2820">
        <v>2014</v>
      </c>
      <c r="H2820" t="s">
        <v>954</v>
      </c>
      <c r="K2820" t="s">
        <v>25</v>
      </c>
      <c r="L2820" t="s">
        <v>26</v>
      </c>
      <c r="M2820" t="b">
        <v>1</v>
      </c>
      <c r="N2820" t="s">
        <v>6235</v>
      </c>
      <c r="Q2820" t="b">
        <v>0</v>
      </c>
      <c r="T2820" t="str">
        <f>"9780310339175"</f>
        <v>9780310339175</v>
      </c>
      <c r="U2820" t="b">
        <v>0</v>
      </c>
      <c r="W2820" t="b">
        <v>0</v>
      </c>
    </row>
    <row r="2821" spans="1:23" x14ac:dyDescent="0.3">
      <c r="A2821">
        <v>2979481</v>
      </c>
      <c r="B2821">
        <v>34.47</v>
      </c>
      <c r="C2821" t="s">
        <v>6236</v>
      </c>
      <c r="E2821" t="s">
        <v>23</v>
      </c>
      <c r="F2821" t="s">
        <v>44</v>
      </c>
      <c r="G2821">
        <v>2019</v>
      </c>
      <c r="H2821" t="s">
        <v>772</v>
      </c>
      <c r="K2821" t="s">
        <v>25</v>
      </c>
      <c r="L2821" t="s">
        <v>26</v>
      </c>
      <c r="M2821" t="b">
        <v>1</v>
      </c>
      <c r="N2821" t="s">
        <v>776</v>
      </c>
      <c r="P2821" t="s">
        <v>1065</v>
      </c>
      <c r="Q2821" t="b">
        <v>1</v>
      </c>
      <c r="S2821" t="str">
        <f>"9780310356387"</f>
        <v>9780310356387</v>
      </c>
      <c r="T2821" t="str">
        <f>"9780310356400"</f>
        <v>9780310356400</v>
      </c>
      <c r="U2821" t="b">
        <v>0</v>
      </c>
      <c r="W2821" t="b">
        <v>0</v>
      </c>
    </row>
    <row r="2822" spans="1:23" x14ac:dyDescent="0.3">
      <c r="A2822">
        <v>2978980</v>
      </c>
      <c r="B2822">
        <v>68.97</v>
      </c>
      <c r="C2822" t="s">
        <v>6245</v>
      </c>
      <c r="E2822" t="s">
        <v>23</v>
      </c>
      <c r="F2822" t="s">
        <v>106</v>
      </c>
      <c r="G2822">
        <v>2020</v>
      </c>
      <c r="H2822" t="s">
        <v>3417</v>
      </c>
      <c r="I2822" t="s">
        <v>6246</v>
      </c>
      <c r="K2822" t="s">
        <v>25</v>
      </c>
      <c r="L2822" t="s">
        <v>26</v>
      </c>
      <c r="M2822" t="b">
        <v>1</v>
      </c>
      <c r="N2822" t="s">
        <v>6247</v>
      </c>
      <c r="O2822" t="str">
        <f>"223/.206"</f>
        <v>223/.206</v>
      </c>
      <c r="P2822" t="s">
        <v>6248</v>
      </c>
      <c r="Q2822" t="b">
        <v>0</v>
      </c>
      <c r="S2822" t="str">
        <f>"9780310115700"</f>
        <v>9780310115700</v>
      </c>
      <c r="T2822" t="str">
        <f>"9780310115717"</f>
        <v>9780310115717</v>
      </c>
      <c r="U2822" t="b">
        <v>0</v>
      </c>
      <c r="W2822" t="b">
        <v>0</v>
      </c>
    </row>
    <row r="2823" spans="1:23" x14ac:dyDescent="0.3">
      <c r="A2823">
        <v>2978979</v>
      </c>
      <c r="B2823">
        <v>172.47</v>
      </c>
      <c r="C2823" t="s">
        <v>6249</v>
      </c>
      <c r="D2823" t="s">
        <v>6250</v>
      </c>
      <c r="E2823" t="s">
        <v>23</v>
      </c>
      <c r="F2823" t="s">
        <v>106</v>
      </c>
      <c r="G2823">
        <v>2020</v>
      </c>
      <c r="H2823" t="s">
        <v>58</v>
      </c>
      <c r="I2823" t="s">
        <v>6251</v>
      </c>
      <c r="J2823" t="s">
        <v>6252</v>
      </c>
      <c r="K2823" t="s">
        <v>25</v>
      </c>
      <c r="L2823" t="s">
        <v>26</v>
      </c>
      <c r="M2823" t="b">
        <v>1</v>
      </c>
      <c r="N2823" t="s">
        <v>1270</v>
      </c>
      <c r="O2823" t="str">
        <f>"248.4"</f>
        <v>248.4</v>
      </c>
      <c r="Q2823" t="b">
        <v>0</v>
      </c>
      <c r="S2823" t="str">
        <f>"9780310109822"</f>
        <v>9780310109822</v>
      </c>
      <c r="T2823" t="str">
        <f>"9780310109839"</f>
        <v>9780310109839</v>
      </c>
      <c r="U2823" t="b">
        <v>0</v>
      </c>
      <c r="V2823" t="s">
        <v>940</v>
      </c>
      <c r="W2823" t="b">
        <v>0</v>
      </c>
    </row>
    <row r="2824" spans="1:23" x14ac:dyDescent="0.3">
      <c r="A2824">
        <v>2978978</v>
      </c>
      <c r="B2824">
        <v>206.97</v>
      </c>
      <c r="C2824" t="s">
        <v>6253</v>
      </c>
      <c r="D2824" t="s">
        <v>6254</v>
      </c>
      <c r="E2824" t="s">
        <v>23</v>
      </c>
      <c r="F2824" t="s">
        <v>106</v>
      </c>
      <c r="G2824">
        <v>2020</v>
      </c>
      <c r="H2824" t="s">
        <v>57</v>
      </c>
      <c r="I2824" t="s">
        <v>6255</v>
      </c>
      <c r="J2824" t="s">
        <v>895</v>
      </c>
      <c r="K2824" t="s">
        <v>25</v>
      </c>
      <c r="L2824" t="s">
        <v>26</v>
      </c>
      <c r="M2824" t="b">
        <v>1</v>
      </c>
      <c r="N2824" t="s">
        <v>6256</v>
      </c>
      <c r="O2824" t="str">
        <f>"225.6/1"</f>
        <v>225.6/1</v>
      </c>
      <c r="Q2824" t="b">
        <v>0</v>
      </c>
      <c r="S2824" t="str">
        <f>"9780310531326"</f>
        <v>9780310531326</v>
      </c>
      <c r="T2824" t="str">
        <f>"9780310531333"</f>
        <v>9780310531333</v>
      </c>
      <c r="U2824" t="b">
        <v>0</v>
      </c>
      <c r="W2824" t="b">
        <v>0</v>
      </c>
    </row>
    <row r="2825" spans="1:23" x14ac:dyDescent="0.3">
      <c r="A2825">
        <v>2978977</v>
      </c>
      <c r="B2825">
        <v>137.97</v>
      </c>
      <c r="C2825" t="s">
        <v>6257</v>
      </c>
      <c r="E2825" t="s">
        <v>23</v>
      </c>
      <c r="F2825" t="s">
        <v>106</v>
      </c>
      <c r="G2825">
        <v>2020</v>
      </c>
      <c r="H2825" t="s">
        <v>3417</v>
      </c>
      <c r="I2825" t="s">
        <v>6258</v>
      </c>
      <c r="K2825" t="s">
        <v>25</v>
      </c>
      <c r="L2825" t="s">
        <v>26</v>
      </c>
      <c r="M2825" t="b">
        <v>1</v>
      </c>
      <c r="N2825" t="s">
        <v>6259</v>
      </c>
      <c r="O2825" t="str">
        <f>"223.807"</f>
        <v>223.807</v>
      </c>
      <c r="P2825" t="s">
        <v>930</v>
      </c>
      <c r="Q2825" t="b">
        <v>0</v>
      </c>
      <c r="S2825" t="str">
        <f>"9780310491163"</f>
        <v>9780310491163</v>
      </c>
      <c r="T2825" t="str">
        <f>"9780310491170"</f>
        <v>9780310491170</v>
      </c>
      <c r="U2825" t="b">
        <v>0</v>
      </c>
      <c r="W2825" t="b">
        <v>0</v>
      </c>
    </row>
    <row r="2826" spans="1:23" x14ac:dyDescent="0.3">
      <c r="A2826">
        <v>2978976</v>
      </c>
      <c r="B2826">
        <v>58.62</v>
      </c>
      <c r="C2826" t="s">
        <v>6260</v>
      </c>
      <c r="D2826" t="s">
        <v>6261</v>
      </c>
      <c r="E2826" t="s">
        <v>23</v>
      </c>
      <c r="F2826" t="s">
        <v>106</v>
      </c>
      <c r="G2826">
        <v>2020</v>
      </c>
      <c r="H2826" t="s">
        <v>71</v>
      </c>
      <c r="I2826" t="s">
        <v>6262</v>
      </c>
      <c r="J2826" t="s">
        <v>6263</v>
      </c>
      <c r="K2826" t="s">
        <v>25</v>
      </c>
      <c r="L2826" t="s">
        <v>26</v>
      </c>
      <c r="M2826" t="b">
        <v>1</v>
      </c>
      <c r="N2826" t="s">
        <v>6264</v>
      </c>
      <c r="O2826" t="str">
        <f>"230.071"</f>
        <v>230.071</v>
      </c>
      <c r="Q2826" t="b">
        <v>0</v>
      </c>
      <c r="S2826" t="str">
        <f>"9780310093824"</f>
        <v>9780310093824</v>
      </c>
      <c r="T2826" t="str">
        <f>"9780310093831"</f>
        <v>9780310093831</v>
      </c>
      <c r="U2826" t="b">
        <v>0</v>
      </c>
      <c r="W2826" t="b">
        <v>0</v>
      </c>
    </row>
    <row r="2827" spans="1:23" x14ac:dyDescent="0.3">
      <c r="A2827">
        <v>2978975</v>
      </c>
      <c r="B2827">
        <v>68.97</v>
      </c>
      <c r="C2827" t="s">
        <v>6265</v>
      </c>
      <c r="E2827" t="s">
        <v>23</v>
      </c>
      <c r="F2827" t="s">
        <v>106</v>
      </c>
      <c r="G2827">
        <v>1990</v>
      </c>
      <c r="H2827" t="s">
        <v>817</v>
      </c>
      <c r="I2827" t="s">
        <v>6266</v>
      </c>
      <c r="K2827" t="s">
        <v>25</v>
      </c>
      <c r="L2827" t="s">
        <v>26</v>
      </c>
      <c r="M2827" t="b">
        <v>1</v>
      </c>
      <c r="N2827" t="s">
        <v>6267</v>
      </c>
      <c r="O2827" t="str">
        <f>"224/.906"</f>
        <v>224/.906</v>
      </c>
      <c r="P2827" t="s">
        <v>6268</v>
      </c>
      <c r="Q2827" t="b">
        <v>0</v>
      </c>
      <c r="S2827" t="str">
        <f>"9780310115144"</f>
        <v>9780310115144</v>
      </c>
      <c r="T2827" t="str">
        <f>"9780310115151"</f>
        <v>9780310115151</v>
      </c>
      <c r="U2827" t="b">
        <v>0</v>
      </c>
      <c r="W2827" t="b">
        <v>0</v>
      </c>
    </row>
    <row r="2828" spans="1:23" x14ac:dyDescent="0.3">
      <c r="A2828">
        <v>2978974</v>
      </c>
      <c r="B2828">
        <v>148.32</v>
      </c>
      <c r="C2828" t="s">
        <v>6269</v>
      </c>
      <c r="E2828" t="s">
        <v>49</v>
      </c>
      <c r="F2828" t="s">
        <v>106</v>
      </c>
      <c r="G2828">
        <v>2009</v>
      </c>
      <c r="H2828" t="s">
        <v>101</v>
      </c>
      <c r="I2828" t="s">
        <v>6270</v>
      </c>
      <c r="K2828" t="s">
        <v>25</v>
      </c>
      <c r="L2828" t="s">
        <v>30</v>
      </c>
      <c r="M2828" t="b">
        <v>1</v>
      </c>
      <c r="N2828" t="s">
        <v>44</v>
      </c>
      <c r="O2828" t="str">
        <f>"220.7"</f>
        <v>220.7</v>
      </c>
      <c r="P2828" t="s">
        <v>6271</v>
      </c>
      <c r="Q2828" t="b">
        <v>0</v>
      </c>
      <c r="S2828" t="str">
        <f>"9780310235019"</f>
        <v>9780310235019</v>
      </c>
      <c r="T2828" t="str">
        <f>"9780310590576"</f>
        <v>9780310590576</v>
      </c>
      <c r="U2828" t="b">
        <v>0</v>
      </c>
      <c r="V2828" t="s">
        <v>940</v>
      </c>
      <c r="W2828" t="b">
        <v>0</v>
      </c>
    </row>
    <row r="2829" spans="1:23" x14ac:dyDescent="0.3">
      <c r="A2829">
        <v>2978973</v>
      </c>
      <c r="B2829">
        <v>79.319999999999993</v>
      </c>
      <c r="C2829" t="s">
        <v>6272</v>
      </c>
      <c r="D2829" t="s">
        <v>6273</v>
      </c>
      <c r="E2829" t="s">
        <v>23</v>
      </c>
      <c r="F2829" t="s">
        <v>106</v>
      </c>
      <c r="G2829">
        <v>2021</v>
      </c>
      <c r="H2829" t="s">
        <v>5772</v>
      </c>
      <c r="K2829" t="s">
        <v>25</v>
      </c>
      <c r="L2829" t="s">
        <v>26</v>
      </c>
      <c r="M2829" t="b">
        <v>1</v>
      </c>
      <c r="N2829" t="s">
        <v>884</v>
      </c>
      <c r="Q2829" t="b">
        <v>0</v>
      </c>
      <c r="S2829" t="str">
        <f>"9780310109143"</f>
        <v>9780310109143</v>
      </c>
      <c r="T2829" t="str">
        <f>"9780310109150"</f>
        <v>9780310109150</v>
      </c>
      <c r="U2829" t="b">
        <v>0</v>
      </c>
      <c r="W2829" t="b">
        <v>0</v>
      </c>
    </row>
    <row r="2830" spans="1:23" x14ac:dyDescent="0.3">
      <c r="A2830">
        <v>2978972</v>
      </c>
      <c r="B2830">
        <v>172.47</v>
      </c>
      <c r="C2830" t="s">
        <v>6274</v>
      </c>
      <c r="D2830" t="s">
        <v>6275</v>
      </c>
      <c r="E2830" t="s">
        <v>23</v>
      </c>
      <c r="F2830" t="s">
        <v>106</v>
      </c>
      <c r="G2830">
        <v>2020</v>
      </c>
      <c r="H2830" t="s">
        <v>179</v>
      </c>
      <c r="I2830" t="s">
        <v>6276</v>
      </c>
      <c r="K2830" t="s">
        <v>25</v>
      </c>
      <c r="L2830" t="s">
        <v>26</v>
      </c>
      <c r="M2830" t="b">
        <v>1</v>
      </c>
      <c r="N2830" t="s">
        <v>884</v>
      </c>
      <c r="O2830" t="str">
        <f>"220.6/01"</f>
        <v>220.6/01</v>
      </c>
      <c r="Q2830" t="b">
        <v>0</v>
      </c>
      <c r="S2830" t="str">
        <f>"9780310109174"</f>
        <v>9780310109174</v>
      </c>
      <c r="T2830" t="str">
        <f>"9780310109181"</f>
        <v>9780310109181</v>
      </c>
      <c r="U2830" t="b">
        <v>0</v>
      </c>
      <c r="V2830" t="s">
        <v>6277</v>
      </c>
      <c r="W2830" t="b">
        <v>0</v>
      </c>
    </row>
    <row r="2831" spans="1:23" x14ac:dyDescent="0.3">
      <c r="A2831">
        <v>2978971</v>
      </c>
      <c r="B2831">
        <v>68.97</v>
      </c>
      <c r="C2831" t="s">
        <v>3428</v>
      </c>
      <c r="E2831" t="s">
        <v>23</v>
      </c>
      <c r="F2831" t="s">
        <v>106</v>
      </c>
      <c r="G2831">
        <v>1989</v>
      </c>
      <c r="H2831" t="s">
        <v>817</v>
      </c>
      <c r="I2831" t="s">
        <v>6278</v>
      </c>
      <c r="K2831" t="s">
        <v>25</v>
      </c>
      <c r="L2831" t="s">
        <v>26</v>
      </c>
      <c r="M2831" t="b">
        <v>1</v>
      </c>
      <c r="N2831" t="s">
        <v>819</v>
      </c>
      <c r="O2831" t="str">
        <f>"224/.506"</f>
        <v>224/.506</v>
      </c>
      <c r="P2831" t="s">
        <v>6268</v>
      </c>
      <c r="Q2831" t="b">
        <v>0</v>
      </c>
      <c r="S2831" t="str">
        <f>"9780310114970"</f>
        <v>9780310114970</v>
      </c>
      <c r="T2831" t="str">
        <f>"9780310114987"</f>
        <v>9780310114987</v>
      </c>
      <c r="U2831" t="b">
        <v>0</v>
      </c>
      <c r="W2831" t="b">
        <v>0</v>
      </c>
    </row>
    <row r="2832" spans="1:23" x14ac:dyDescent="0.3">
      <c r="A2832">
        <v>2978970</v>
      </c>
      <c r="B2832">
        <v>103.47</v>
      </c>
      <c r="C2832" t="s">
        <v>6279</v>
      </c>
      <c r="D2832" t="s">
        <v>6280</v>
      </c>
      <c r="E2832" t="s">
        <v>23</v>
      </c>
      <c r="F2832" t="s">
        <v>106</v>
      </c>
      <c r="G2832">
        <v>2020</v>
      </c>
      <c r="H2832" t="s">
        <v>1044</v>
      </c>
      <c r="I2832" t="s">
        <v>6281</v>
      </c>
      <c r="J2832" t="s">
        <v>6282</v>
      </c>
      <c r="K2832" t="s">
        <v>25</v>
      </c>
      <c r="L2832" t="s">
        <v>26</v>
      </c>
      <c r="M2832" t="b">
        <v>1</v>
      </c>
      <c r="N2832" t="s">
        <v>6283</v>
      </c>
      <c r="O2832" t="str">
        <f>"264"</f>
        <v>264</v>
      </c>
      <c r="Q2832" t="b">
        <v>0</v>
      </c>
      <c r="S2832" t="str">
        <f>"9780310104049"</f>
        <v>9780310104049</v>
      </c>
      <c r="T2832" t="str">
        <f>"9780310104056"</f>
        <v>9780310104056</v>
      </c>
      <c r="U2832" t="b">
        <v>0</v>
      </c>
      <c r="W2832" t="b">
        <v>0</v>
      </c>
    </row>
    <row r="2833" spans="1:23" x14ac:dyDescent="0.3">
      <c r="A2833">
        <v>2978969</v>
      </c>
      <c r="B2833">
        <v>68.97</v>
      </c>
      <c r="C2833" t="s">
        <v>6284</v>
      </c>
      <c r="E2833" t="s">
        <v>23</v>
      </c>
      <c r="F2833" t="s">
        <v>106</v>
      </c>
      <c r="G2833">
        <v>2020</v>
      </c>
      <c r="H2833" t="s">
        <v>6285</v>
      </c>
      <c r="I2833" t="s">
        <v>6286</v>
      </c>
      <c r="K2833" t="s">
        <v>25</v>
      </c>
      <c r="L2833" t="s">
        <v>26</v>
      </c>
      <c r="M2833" t="b">
        <v>1</v>
      </c>
      <c r="N2833" t="s">
        <v>6287</v>
      </c>
      <c r="O2833" t="str">
        <f>"227.92/07"</f>
        <v>227.92/07</v>
      </c>
      <c r="P2833" t="s">
        <v>6268</v>
      </c>
      <c r="Q2833" t="b">
        <v>0</v>
      </c>
      <c r="S2833" t="str">
        <f>"9780310114949"</f>
        <v>9780310114949</v>
      </c>
      <c r="T2833" t="str">
        <f>"9780310114956"</f>
        <v>9780310114956</v>
      </c>
      <c r="U2833" t="b">
        <v>0</v>
      </c>
      <c r="W2833" t="b">
        <v>0</v>
      </c>
    </row>
    <row r="2834" spans="1:23" x14ac:dyDescent="0.3">
      <c r="A2834">
        <v>2978968</v>
      </c>
      <c r="B2834">
        <v>93.12</v>
      </c>
      <c r="C2834" t="s">
        <v>6288</v>
      </c>
      <c r="D2834" t="s">
        <v>6289</v>
      </c>
      <c r="E2834" t="s">
        <v>23</v>
      </c>
      <c r="F2834" t="s">
        <v>106</v>
      </c>
      <c r="G2834">
        <v>2020</v>
      </c>
      <c r="H2834" t="s">
        <v>6290</v>
      </c>
      <c r="I2834" t="s">
        <v>6291</v>
      </c>
      <c r="J2834" t="s">
        <v>6292</v>
      </c>
      <c r="K2834" t="s">
        <v>25</v>
      </c>
      <c r="L2834" t="s">
        <v>26</v>
      </c>
      <c r="M2834" t="b">
        <v>1</v>
      </c>
      <c r="N2834" t="s">
        <v>6293</v>
      </c>
      <c r="O2834" t="str">
        <f>"200.72"</f>
        <v>200.72</v>
      </c>
      <c r="Q2834" t="b">
        <v>0</v>
      </c>
      <c r="S2834" t="str">
        <f>"9780310106661"</f>
        <v>9780310106661</v>
      </c>
      <c r="T2834" t="str">
        <f>"9780310106685"</f>
        <v>9780310106685</v>
      </c>
      <c r="U2834" t="b">
        <v>0</v>
      </c>
      <c r="W2834" t="b">
        <v>0</v>
      </c>
    </row>
    <row r="2835" spans="1:23" x14ac:dyDescent="0.3">
      <c r="A2835">
        <v>2978967</v>
      </c>
      <c r="B2835">
        <v>137.97</v>
      </c>
      <c r="C2835" t="s">
        <v>103</v>
      </c>
      <c r="E2835" t="s">
        <v>23</v>
      </c>
      <c r="F2835" t="s">
        <v>106</v>
      </c>
      <c r="G2835">
        <v>2020</v>
      </c>
      <c r="H2835" t="s">
        <v>1181</v>
      </c>
      <c r="I2835" t="s">
        <v>6294</v>
      </c>
      <c r="K2835" t="s">
        <v>25</v>
      </c>
      <c r="L2835" t="s">
        <v>26</v>
      </c>
      <c r="M2835" t="b">
        <v>1</v>
      </c>
      <c r="N2835" t="s">
        <v>6295</v>
      </c>
      <c r="O2835" t="str">
        <f>"eBook"</f>
        <v>eBook</v>
      </c>
      <c r="P2835" t="s">
        <v>6296</v>
      </c>
      <c r="Q2835" t="b">
        <v>0</v>
      </c>
      <c r="S2835" t="str">
        <f>"9780310327219"</f>
        <v>9780310327219</v>
      </c>
      <c r="T2835" t="str">
        <f>"9780310599104"</f>
        <v>9780310599104</v>
      </c>
      <c r="U2835" t="b">
        <v>0</v>
      </c>
      <c r="W2835" t="b">
        <v>0</v>
      </c>
    </row>
    <row r="2836" spans="1:23" x14ac:dyDescent="0.3">
      <c r="A2836">
        <v>2978966</v>
      </c>
      <c r="B2836">
        <v>155.22</v>
      </c>
      <c r="C2836" t="s">
        <v>6297</v>
      </c>
      <c r="E2836" t="s">
        <v>23</v>
      </c>
      <c r="F2836" t="s">
        <v>106</v>
      </c>
      <c r="G2836">
        <v>2021</v>
      </c>
      <c r="H2836" t="s">
        <v>5768</v>
      </c>
      <c r="I2836" t="s">
        <v>6298</v>
      </c>
      <c r="K2836" t="s">
        <v>25</v>
      </c>
      <c r="L2836" t="s">
        <v>26</v>
      </c>
      <c r="M2836" t="b">
        <v>1</v>
      </c>
      <c r="N2836" t="s">
        <v>6299</v>
      </c>
      <c r="O2836" t="str">
        <f>"222/.707"</f>
        <v>222/.707</v>
      </c>
      <c r="P2836" t="s">
        <v>6300</v>
      </c>
      <c r="Q2836" t="b">
        <v>0</v>
      </c>
      <c r="S2836" t="str">
        <f>"9780310225430"</f>
        <v>9780310225430</v>
      </c>
      <c r="T2836" t="str">
        <f>"9780310492887"</f>
        <v>9780310492887</v>
      </c>
      <c r="U2836" t="b">
        <v>0</v>
      </c>
      <c r="W2836" t="b">
        <v>0</v>
      </c>
    </row>
    <row r="2837" spans="1:23" x14ac:dyDescent="0.3">
      <c r="A2837">
        <v>2978965</v>
      </c>
      <c r="B2837">
        <v>120.72</v>
      </c>
      <c r="C2837" t="s">
        <v>6301</v>
      </c>
      <c r="D2837" t="s">
        <v>6302</v>
      </c>
      <c r="E2837" t="s">
        <v>23</v>
      </c>
      <c r="F2837" t="s">
        <v>106</v>
      </c>
      <c r="G2837">
        <v>2020</v>
      </c>
      <c r="H2837" t="s">
        <v>71</v>
      </c>
      <c r="I2837" t="s">
        <v>6303</v>
      </c>
      <c r="J2837" t="s">
        <v>895</v>
      </c>
      <c r="K2837" t="s">
        <v>25</v>
      </c>
      <c r="L2837" t="s">
        <v>26</v>
      </c>
      <c r="M2837" t="b">
        <v>1</v>
      </c>
      <c r="N2837" t="s">
        <v>6304</v>
      </c>
      <c r="O2837" t="str">
        <f>"230"</f>
        <v>230</v>
      </c>
      <c r="Q2837" t="b">
        <v>0</v>
      </c>
      <c r="S2837" t="str">
        <f>"9780310113720"</f>
        <v>9780310113720</v>
      </c>
      <c r="T2837" t="str">
        <f>"9780310113737"</f>
        <v>9780310113737</v>
      </c>
      <c r="U2837" t="b">
        <v>0</v>
      </c>
      <c r="W2837" t="b">
        <v>0</v>
      </c>
    </row>
    <row r="2838" spans="1:23" x14ac:dyDescent="0.3">
      <c r="A2838">
        <v>2978964</v>
      </c>
      <c r="B2838">
        <v>68.97</v>
      </c>
      <c r="C2838" t="s">
        <v>6305</v>
      </c>
      <c r="E2838" t="s">
        <v>23</v>
      </c>
      <c r="F2838" t="s">
        <v>106</v>
      </c>
      <c r="G2838">
        <v>2020</v>
      </c>
      <c r="H2838" t="s">
        <v>5768</v>
      </c>
      <c r="I2838" t="s">
        <v>6306</v>
      </c>
      <c r="K2838" t="s">
        <v>25</v>
      </c>
      <c r="L2838" t="s">
        <v>26</v>
      </c>
      <c r="M2838" t="b">
        <v>1</v>
      </c>
      <c r="N2838" t="s">
        <v>6307</v>
      </c>
      <c r="O2838" t="str">
        <f>"222.207"</f>
        <v>222.207</v>
      </c>
      <c r="P2838" t="s">
        <v>6268</v>
      </c>
      <c r="Q2838" t="b">
        <v>0</v>
      </c>
      <c r="S2838" t="str">
        <f>"9780310115762"</f>
        <v>9780310115762</v>
      </c>
      <c r="T2838" t="str">
        <f>"9780310115779"</f>
        <v>9780310115779</v>
      </c>
      <c r="U2838" t="b">
        <v>0</v>
      </c>
      <c r="W2838" t="b">
        <v>0</v>
      </c>
    </row>
    <row r="2839" spans="1:23" x14ac:dyDescent="0.3">
      <c r="A2839">
        <v>2978963</v>
      </c>
      <c r="B2839">
        <v>68.97</v>
      </c>
      <c r="C2839" t="s">
        <v>6308</v>
      </c>
      <c r="E2839" t="s">
        <v>23</v>
      </c>
      <c r="F2839" t="s">
        <v>106</v>
      </c>
      <c r="G2839">
        <v>1989</v>
      </c>
      <c r="H2839" t="s">
        <v>5768</v>
      </c>
      <c r="I2839" t="s">
        <v>6309</v>
      </c>
      <c r="K2839" t="s">
        <v>25</v>
      </c>
      <c r="L2839" t="s">
        <v>26</v>
      </c>
      <c r="M2839" t="b">
        <v>1</v>
      </c>
      <c r="N2839" t="s">
        <v>6310</v>
      </c>
      <c r="O2839" t="str">
        <f>"222/.506"</f>
        <v>222/.506</v>
      </c>
      <c r="P2839" t="s">
        <v>6268</v>
      </c>
      <c r="Q2839" t="b">
        <v>0</v>
      </c>
      <c r="S2839" t="str">
        <f>"9780310114857"</f>
        <v>9780310114857</v>
      </c>
      <c r="T2839" t="str">
        <f>"9780310114864"</f>
        <v>9780310114864</v>
      </c>
      <c r="U2839" t="b">
        <v>0</v>
      </c>
      <c r="W2839" t="b">
        <v>0</v>
      </c>
    </row>
    <row r="2840" spans="1:23" x14ac:dyDescent="0.3">
      <c r="A2840">
        <v>2978962</v>
      </c>
      <c r="B2840">
        <v>68.97</v>
      </c>
      <c r="C2840" t="s">
        <v>5778</v>
      </c>
      <c r="E2840" t="s">
        <v>23</v>
      </c>
      <c r="F2840" t="s">
        <v>106</v>
      </c>
      <c r="G2840">
        <v>2020</v>
      </c>
      <c r="H2840" t="s">
        <v>101</v>
      </c>
      <c r="I2840" t="s">
        <v>6311</v>
      </c>
      <c r="K2840" t="s">
        <v>25</v>
      </c>
      <c r="L2840" t="s">
        <v>26</v>
      </c>
      <c r="M2840" t="b">
        <v>1</v>
      </c>
      <c r="N2840" t="s">
        <v>6312</v>
      </c>
      <c r="O2840" t="str">
        <f>"227/.606"</f>
        <v>227/.606</v>
      </c>
      <c r="P2840" t="s">
        <v>6248</v>
      </c>
      <c r="Q2840" t="b">
        <v>0</v>
      </c>
      <c r="S2840" t="str">
        <f>"9780310115670"</f>
        <v>9780310115670</v>
      </c>
      <c r="T2840" t="str">
        <f>"9780310115687"</f>
        <v>9780310115687</v>
      </c>
      <c r="U2840" t="b">
        <v>0</v>
      </c>
      <c r="W2840" t="b">
        <v>0</v>
      </c>
    </row>
    <row r="2841" spans="1:23" x14ac:dyDescent="0.3">
      <c r="A2841">
        <v>2978961</v>
      </c>
      <c r="B2841">
        <v>68.97</v>
      </c>
      <c r="C2841" t="s">
        <v>6313</v>
      </c>
      <c r="E2841" t="s">
        <v>23</v>
      </c>
      <c r="F2841" t="s">
        <v>106</v>
      </c>
      <c r="G2841">
        <v>2020</v>
      </c>
      <c r="H2841" t="s">
        <v>5768</v>
      </c>
      <c r="I2841" t="s">
        <v>6314</v>
      </c>
      <c r="K2841" t="s">
        <v>25</v>
      </c>
      <c r="L2841" t="s">
        <v>26</v>
      </c>
      <c r="M2841" t="b">
        <v>1</v>
      </c>
      <c r="N2841" t="s">
        <v>6315</v>
      </c>
      <c r="O2841" t="str">
        <f>"222.6/07"</f>
        <v>222.6/07</v>
      </c>
      <c r="P2841" t="s">
        <v>6268</v>
      </c>
      <c r="Q2841" t="b">
        <v>0</v>
      </c>
      <c r="S2841" t="str">
        <f>"9780310115793"</f>
        <v>9780310115793</v>
      </c>
      <c r="T2841" t="str">
        <f>"9780310115809"</f>
        <v>9780310115809</v>
      </c>
      <c r="U2841" t="b">
        <v>0</v>
      </c>
      <c r="W2841" t="b">
        <v>0</v>
      </c>
    </row>
    <row r="2842" spans="1:23" x14ac:dyDescent="0.3">
      <c r="A2842">
        <v>2978960</v>
      </c>
      <c r="B2842">
        <v>86.22</v>
      </c>
      <c r="C2842" t="s">
        <v>6316</v>
      </c>
      <c r="D2842" t="s">
        <v>6250</v>
      </c>
      <c r="E2842" t="s">
        <v>23</v>
      </c>
      <c r="F2842" t="s">
        <v>106</v>
      </c>
      <c r="G2842">
        <v>2020</v>
      </c>
      <c r="H2842" t="s">
        <v>58</v>
      </c>
      <c r="K2842" t="s">
        <v>25</v>
      </c>
      <c r="L2842" t="s">
        <v>26</v>
      </c>
      <c r="M2842" t="b">
        <v>1</v>
      </c>
      <c r="N2842" t="s">
        <v>6317</v>
      </c>
      <c r="Q2842" t="b">
        <v>0</v>
      </c>
      <c r="S2842" t="str">
        <f>"9780310109914"</f>
        <v>9780310109914</v>
      </c>
      <c r="T2842" t="str">
        <f>"9780310109921"</f>
        <v>9780310109921</v>
      </c>
      <c r="U2842" t="b">
        <v>0</v>
      </c>
      <c r="W2842" t="b">
        <v>0</v>
      </c>
    </row>
    <row r="2843" spans="1:23" x14ac:dyDescent="0.3">
      <c r="A2843">
        <v>2978959</v>
      </c>
      <c r="B2843">
        <v>68.97</v>
      </c>
      <c r="C2843" t="s">
        <v>3433</v>
      </c>
      <c r="E2843" t="s">
        <v>23</v>
      </c>
      <c r="F2843" t="s">
        <v>106</v>
      </c>
      <c r="G2843">
        <v>1989</v>
      </c>
      <c r="H2843" t="s">
        <v>817</v>
      </c>
      <c r="I2843" t="s">
        <v>6318</v>
      </c>
      <c r="K2843" t="s">
        <v>25</v>
      </c>
      <c r="L2843" t="s">
        <v>26</v>
      </c>
      <c r="M2843" t="b">
        <v>1</v>
      </c>
      <c r="N2843" t="s">
        <v>6319</v>
      </c>
      <c r="O2843" t="str">
        <f>"224/.106"</f>
        <v>224/.106</v>
      </c>
      <c r="P2843" t="s">
        <v>6268</v>
      </c>
      <c r="Q2843" t="b">
        <v>0</v>
      </c>
      <c r="S2843" t="str">
        <f>"9780310115076"</f>
        <v>9780310115076</v>
      </c>
      <c r="T2843" t="str">
        <f>"9780310115083"</f>
        <v>9780310115083</v>
      </c>
      <c r="U2843" t="b">
        <v>0</v>
      </c>
      <c r="W2843" t="b">
        <v>0</v>
      </c>
    </row>
    <row r="2844" spans="1:23" x14ac:dyDescent="0.3">
      <c r="A2844">
        <v>2978958</v>
      </c>
      <c r="B2844">
        <v>68.97</v>
      </c>
      <c r="C2844" t="s">
        <v>3440</v>
      </c>
      <c r="E2844" t="s">
        <v>23</v>
      </c>
      <c r="F2844" t="s">
        <v>106</v>
      </c>
      <c r="G2844">
        <v>2020</v>
      </c>
      <c r="H2844" t="s">
        <v>5766</v>
      </c>
      <c r="I2844" t="s">
        <v>6320</v>
      </c>
      <c r="K2844" t="s">
        <v>25</v>
      </c>
      <c r="L2844" t="s">
        <v>26</v>
      </c>
      <c r="M2844" t="b">
        <v>1</v>
      </c>
      <c r="N2844" t="s">
        <v>6321</v>
      </c>
      <c r="O2844" t="str">
        <f>"226.5"</f>
        <v>226.5</v>
      </c>
      <c r="P2844" t="s">
        <v>6268</v>
      </c>
      <c r="Q2844" t="b">
        <v>0</v>
      </c>
      <c r="S2844" t="str">
        <f>"9780310115113"</f>
        <v>9780310115113</v>
      </c>
      <c r="T2844" t="str">
        <f>"9780310115120"</f>
        <v>9780310115120</v>
      </c>
      <c r="U2844" t="b">
        <v>0</v>
      </c>
      <c r="W2844" t="b">
        <v>0</v>
      </c>
    </row>
    <row r="2845" spans="1:23" x14ac:dyDescent="0.3">
      <c r="A2845">
        <v>2978957</v>
      </c>
      <c r="B2845">
        <v>206.97</v>
      </c>
      <c r="C2845" t="s">
        <v>6322</v>
      </c>
      <c r="D2845" t="s">
        <v>6323</v>
      </c>
      <c r="E2845" t="s">
        <v>23</v>
      </c>
      <c r="F2845" t="s">
        <v>106</v>
      </c>
      <c r="G2845">
        <v>2020</v>
      </c>
      <c r="H2845" t="s">
        <v>57</v>
      </c>
      <c r="I2845" t="s">
        <v>6324</v>
      </c>
      <c r="K2845" t="s">
        <v>25</v>
      </c>
      <c r="L2845" t="s">
        <v>26</v>
      </c>
      <c r="M2845" t="b">
        <v>1</v>
      </c>
      <c r="N2845" t="s">
        <v>6325</v>
      </c>
      <c r="O2845" t="str">
        <f>"226.061"</f>
        <v>226.061</v>
      </c>
      <c r="Q2845" t="b">
        <v>0</v>
      </c>
      <c r="S2845" t="str">
        <f>"9780310528678"</f>
        <v>9780310528678</v>
      </c>
      <c r="T2845" t="str">
        <f>"9780310528685"</f>
        <v>9780310528685</v>
      </c>
      <c r="U2845" t="b">
        <v>0</v>
      </c>
      <c r="V2845" t="s">
        <v>870</v>
      </c>
      <c r="W2845" t="b">
        <v>0</v>
      </c>
    </row>
    <row r="2846" spans="1:23" x14ac:dyDescent="0.3">
      <c r="A2846">
        <v>2978956</v>
      </c>
      <c r="B2846">
        <v>172.47</v>
      </c>
      <c r="C2846" t="s">
        <v>6326</v>
      </c>
      <c r="D2846" t="s">
        <v>2316</v>
      </c>
      <c r="E2846" t="s">
        <v>23</v>
      </c>
      <c r="F2846" t="s">
        <v>106</v>
      </c>
      <c r="G2846">
        <v>2021</v>
      </c>
      <c r="H2846" t="s">
        <v>5768</v>
      </c>
      <c r="I2846" t="s">
        <v>6327</v>
      </c>
      <c r="K2846" t="s">
        <v>25</v>
      </c>
      <c r="L2846" t="s">
        <v>26</v>
      </c>
      <c r="M2846" t="b">
        <v>1</v>
      </c>
      <c r="N2846" t="s">
        <v>6328</v>
      </c>
      <c r="O2846" t="str">
        <f>"222/.3207"</f>
        <v>222/.3207</v>
      </c>
      <c r="P2846" t="s">
        <v>6300</v>
      </c>
      <c r="Q2846" t="b">
        <v>0</v>
      </c>
      <c r="S2846" t="str">
        <f>"9780310114765"</f>
        <v>9780310114765</v>
      </c>
      <c r="T2846" t="str">
        <f>"9780310114772"</f>
        <v>9780310114772</v>
      </c>
      <c r="U2846" t="b">
        <v>0</v>
      </c>
      <c r="V2846" t="s">
        <v>940</v>
      </c>
      <c r="W2846" t="b">
        <v>0</v>
      </c>
    </row>
    <row r="2847" spans="1:23" x14ac:dyDescent="0.3">
      <c r="A2847">
        <v>2978955</v>
      </c>
      <c r="B2847">
        <v>170.53</v>
      </c>
      <c r="C2847" t="s">
        <v>6329</v>
      </c>
      <c r="D2847" t="s">
        <v>6330</v>
      </c>
      <c r="E2847" t="s">
        <v>23</v>
      </c>
      <c r="F2847" t="s">
        <v>106</v>
      </c>
      <c r="G2847">
        <v>2020</v>
      </c>
      <c r="H2847" t="s">
        <v>115</v>
      </c>
      <c r="I2847" t="s">
        <v>6331</v>
      </c>
      <c r="J2847" t="s">
        <v>6332</v>
      </c>
      <c r="K2847" t="s">
        <v>25</v>
      </c>
      <c r="L2847" t="s">
        <v>26</v>
      </c>
      <c r="M2847" t="b">
        <v>1</v>
      </c>
      <c r="N2847" t="s">
        <v>946</v>
      </c>
      <c r="O2847" t="str">
        <f>"230"</f>
        <v>230</v>
      </c>
      <c r="Q2847" t="b">
        <v>0</v>
      </c>
      <c r="T2847" t="str">
        <f>"9780310517993"</f>
        <v>9780310517993</v>
      </c>
      <c r="U2847" t="b">
        <v>0</v>
      </c>
      <c r="V2847" t="s">
        <v>870</v>
      </c>
      <c r="W2847" t="b">
        <v>0</v>
      </c>
    </row>
    <row r="2848" spans="1:23" x14ac:dyDescent="0.3">
      <c r="A2848">
        <v>2978954</v>
      </c>
      <c r="B2848">
        <v>120.72</v>
      </c>
      <c r="C2848" t="s">
        <v>6333</v>
      </c>
      <c r="E2848" t="s">
        <v>23</v>
      </c>
      <c r="F2848" t="s">
        <v>106</v>
      </c>
      <c r="G2848">
        <v>2021</v>
      </c>
      <c r="H2848" t="s">
        <v>6334</v>
      </c>
      <c r="I2848" t="s">
        <v>6335</v>
      </c>
      <c r="J2848" t="s">
        <v>6336</v>
      </c>
      <c r="K2848" t="s">
        <v>25</v>
      </c>
      <c r="L2848" t="s">
        <v>26</v>
      </c>
      <c r="M2848" t="b">
        <v>1</v>
      </c>
      <c r="N2848" t="s">
        <v>6337</v>
      </c>
      <c r="O2848" t="str">
        <f>"270"</f>
        <v>270</v>
      </c>
      <c r="Q2848" t="b">
        <v>0</v>
      </c>
      <c r="S2848" t="str">
        <f>"9780310115960"</f>
        <v>9780310115960</v>
      </c>
      <c r="T2848" t="str">
        <f>"9780310115984"</f>
        <v>9780310115984</v>
      </c>
      <c r="U2848" t="b">
        <v>0</v>
      </c>
      <c r="V2848" t="s">
        <v>6338</v>
      </c>
      <c r="W2848" t="b">
        <v>0</v>
      </c>
    </row>
    <row r="2849" spans="1:23" x14ac:dyDescent="0.3">
      <c r="A2849">
        <v>2978953</v>
      </c>
      <c r="B2849">
        <v>68.97</v>
      </c>
      <c r="C2849" t="s">
        <v>6339</v>
      </c>
      <c r="E2849" t="s">
        <v>23</v>
      </c>
      <c r="F2849" t="s">
        <v>106</v>
      </c>
      <c r="G2849">
        <v>1989</v>
      </c>
      <c r="H2849" t="s">
        <v>6285</v>
      </c>
      <c r="I2849" t="s">
        <v>6340</v>
      </c>
      <c r="K2849" t="s">
        <v>25</v>
      </c>
      <c r="L2849" t="s">
        <v>26</v>
      </c>
      <c r="M2849" t="b">
        <v>1</v>
      </c>
      <c r="N2849" t="s">
        <v>6341</v>
      </c>
      <c r="O2849" t="str">
        <f>"227/.9206"</f>
        <v>227/.9206</v>
      </c>
      <c r="P2849" t="s">
        <v>6268</v>
      </c>
      <c r="Q2849" t="b">
        <v>0</v>
      </c>
      <c r="S2849" t="str">
        <f>"9780310114888"</f>
        <v>9780310114888</v>
      </c>
      <c r="T2849" t="str">
        <f>"9780310114895"</f>
        <v>9780310114895</v>
      </c>
      <c r="U2849" t="b">
        <v>0</v>
      </c>
      <c r="W2849" t="b">
        <v>0</v>
      </c>
    </row>
    <row r="2850" spans="1:23" x14ac:dyDescent="0.3">
      <c r="A2850">
        <v>2978952</v>
      </c>
      <c r="B2850">
        <v>68.97</v>
      </c>
      <c r="C2850" t="s">
        <v>5780</v>
      </c>
      <c r="E2850" t="s">
        <v>23</v>
      </c>
      <c r="F2850" t="s">
        <v>106</v>
      </c>
      <c r="G2850">
        <v>1989</v>
      </c>
      <c r="H2850" t="s">
        <v>101</v>
      </c>
      <c r="I2850" t="s">
        <v>6342</v>
      </c>
      <c r="K2850" t="s">
        <v>25</v>
      </c>
      <c r="L2850" t="s">
        <v>26</v>
      </c>
      <c r="M2850" t="b">
        <v>1</v>
      </c>
      <c r="N2850" t="s">
        <v>6343</v>
      </c>
      <c r="O2850" t="str">
        <f>"227/.8106"</f>
        <v>227/.8106</v>
      </c>
      <c r="P2850" t="s">
        <v>6268</v>
      </c>
      <c r="Q2850" t="b">
        <v>0</v>
      </c>
      <c r="S2850" t="str">
        <f>"9780310115731"</f>
        <v>9780310115731</v>
      </c>
      <c r="T2850" t="str">
        <f>"9780310115748"</f>
        <v>9780310115748</v>
      </c>
      <c r="U2850" t="b">
        <v>0</v>
      </c>
      <c r="W2850" t="b">
        <v>0</v>
      </c>
    </row>
    <row r="2851" spans="1:23" x14ac:dyDescent="0.3">
      <c r="A2851">
        <v>2978951</v>
      </c>
      <c r="B2851">
        <v>206.97</v>
      </c>
      <c r="C2851" t="s">
        <v>6344</v>
      </c>
      <c r="D2851" t="s">
        <v>6345</v>
      </c>
      <c r="E2851" t="s">
        <v>23</v>
      </c>
      <c r="F2851" t="s">
        <v>106</v>
      </c>
      <c r="G2851">
        <v>2020</v>
      </c>
      <c r="H2851" t="s">
        <v>115</v>
      </c>
      <c r="I2851" t="s">
        <v>6346</v>
      </c>
      <c r="J2851" t="s">
        <v>6347</v>
      </c>
      <c r="K2851" t="s">
        <v>25</v>
      </c>
      <c r="L2851" t="s">
        <v>26</v>
      </c>
      <c r="M2851" t="b">
        <v>1</v>
      </c>
      <c r="N2851" t="s">
        <v>760</v>
      </c>
      <c r="O2851" t="str">
        <f>"230.04624"</f>
        <v>230.04624</v>
      </c>
      <c r="Q2851" t="b">
        <v>0</v>
      </c>
      <c r="S2851" t="str">
        <f>"9780310093978"</f>
        <v>9780310093978</v>
      </c>
      <c r="T2851" t="str">
        <f>"9780310093985"</f>
        <v>9780310093985</v>
      </c>
      <c r="U2851" t="b">
        <v>0</v>
      </c>
      <c r="V2851" t="s">
        <v>870</v>
      </c>
      <c r="W2851" t="b">
        <v>0</v>
      </c>
    </row>
    <row r="2852" spans="1:23" x14ac:dyDescent="0.3">
      <c r="A2852">
        <v>2978950</v>
      </c>
      <c r="B2852">
        <v>86.22</v>
      </c>
      <c r="C2852" t="s">
        <v>6348</v>
      </c>
      <c r="D2852" t="s">
        <v>6275</v>
      </c>
      <c r="E2852" t="s">
        <v>23</v>
      </c>
      <c r="F2852" t="s">
        <v>106</v>
      </c>
      <c r="G2852">
        <v>2020</v>
      </c>
      <c r="H2852" t="s">
        <v>179</v>
      </c>
      <c r="I2852" t="s">
        <v>4576</v>
      </c>
      <c r="K2852" t="s">
        <v>25</v>
      </c>
      <c r="L2852" t="s">
        <v>26</v>
      </c>
      <c r="M2852" t="b">
        <v>1</v>
      </c>
      <c r="N2852" t="s">
        <v>884</v>
      </c>
      <c r="O2852" t="str">
        <f>"220.6"</f>
        <v>220.6</v>
      </c>
      <c r="Q2852" t="b">
        <v>0</v>
      </c>
      <c r="S2852" t="str">
        <f>"9780310109204"</f>
        <v>9780310109204</v>
      </c>
      <c r="T2852" t="str">
        <f>"9780310109211"</f>
        <v>9780310109211</v>
      </c>
      <c r="U2852" t="b">
        <v>0</v>
      </c>
      <c r="V2852" t="s">
        <v>6349</v>
      </c>
      <c r="W2852" t="b">
        <v>0</v>
      </c>
    </row>
    <row r="2853" spans="1:23" x14ac:dyDescent="0.3">
      <c r="A2853">
        <v>2978949</v>
      </c>
      <c r="B2853">
        <v>120.72</v>
      </c>
      <c r="C2853" t="s">
        <v>6350</v>
      </c>
      <c r="D2853" t="s">
        <v>6351</v>
      </c>
      <c r="E2853" t="s">
        <v>23</v>
      </c>
      <c r="F2853" t="s">
        <v>106</v>
      </c>
      <c r="G2853">
        <v>2020</v>
      </c>
      <c r="H2853" t="s">
        <v>871</v>
      </c>
      <c r="I2853" t="s">
        <v>6352</v>
      </c>
      <c r="J2853" t="s">
        <v>6353</v>
      </c>
      <c r="K2853" t="s">
        <v>25</v>
      </c>
      <c r="L2853" t="s">
        <v>26</v>
      </c>
      <c r="M2853" t="b">
        <v>1</v>
      </c>
      <c r="N2853" t="s">
        <v>6354</v>
      </c>
      <c r="O2853" t="str">
        <f>"231/.044"</f>
        <v>231/.044</v>
      </c>
      <c r="P2853" t="s">
        <v>6355</v>
      </c>
      <c r="Q2853" t="b">
        <v>0</v>
      </c>
      <c r="S2853" t="str">
        <f>"9780310106913"</f>
        <v>9780310106913</v>
      </c>
      <c r="T2853" t="str">
        <f>"9780310106920"</f>
        <v>9780310106920</v>
      </c>
      <c r="U2853" t="b">
        <v>0</v>
      </c>
      <c r="W2853" t="b">
        <v>0</v>
      </c>
    </row>
    <row r="2854" spans="1:23" x14ac:dyDescent="0.3">
      <c r="A2854">
        <v>2978948</v>
      </c>
      <c r="B2854">
        <v>68.97</v>
      </c>
      <c r="C2854" t="s">
        <v>1228</v>
      </c>
      <c r="E2854" t="s">
        <v>23</v>
      </c>
      <c r="F2854" t="s">
        <v>106</v>
      </c>
      <c r="G2854">
        <v>2020</v>
      </c>
      <c r="H2854" t="s">
        <v>6356</v>
      </c>
      <c r="I2854" t="s">
        <v>6357</v>
      </c>
      <c r="K2854" t="s">
        <v>25</v>
      </c>
      <c r="L2854" t="s">
        <v>26</v>
      </c>
      <c r="M2854" t="b">
        <v>1</v>
      </c>
      <c r="N2854" t="s">
        <v>6358</v>
      </c>
      <c r="O2854" t="str">
        <f>"222.1207"</f>
        <v>222.1207</v>
      </c>
      <c r="P2854" t="s">
        <v>6268</v>
      </c>
      <c r="Q2854" t="b">
        <v>0</v>
      </c>
      <c r="S2854" t="str">
        <f>"9780310115014"</f>
        <v>9780310115014</v>
      </c>
      <c r="T2854" t="str">
        <f>"9780310115021"</f>
        <v>9780310115021</v>
      </c>
      <c r="U2854" t="b">
        <v>0</v>
      </c>
      <c r="W2854" t="b">
        <v>0</v>
      </c>
    </row>
    <row r="2855" spans="1:23" x14ac:dyDescent="0.3">
      <c r="A2855">
        <v>2978947</v>
      </c>
      <c r="B2855">
        <v>120.72</v>
      </c>
      <c r="C2855" t="s">
        <v>6359</v>
      </c>
      <c r="D2855" t="s">
        <v>6273</v>
      </c>
      <c r="E2855" t="s">
        <v>23</v>
      </c>
      <c r="F2855" t="s">
        <v>106</v>
      </c>
      <c r="G2855">
        <v>2021</v>
      </c>
      <c r="H2855" t="s">
        <v>5772</v>
      </c>
      <c r="I2855" t="s">
        <v>6360</v>
      </c>
      <c r="K2855" t="s">
        <v>25</v>
      </c>
      <c r="L2855" t="s">
        <v>26</v>
      </c>
      <c r="M2855" t="b">
        <v>1</v>
      </c>
      <c r="N2855" t="s">
        <v>884</v>
      </c>
      <c r="O2855" t="str">
        <f>"220.61"</f>
        <v>220.61</v>
      </c>
      <c r="Q2855" t="b">
        <v>0</v>
      </c>
      <c r="S2855" t="str">
        <f>"9780310109112"</f>
        <v>9780310109112</v>
      </c>
      <c r="T2855" t="str">
        <f>"9780310109129"</f>
        <v>9780310109129</v>
      </c>
      <c r="U2855" t="b">
        <v>0</v>
      </c>
      <c r="W2855" t="b">
        <v>0</v>
      </c>
    </row>
    <row r="2856" spans="1:23" x14ac:dyDescent="0.3">
      <c r="A2856">
        <v>2978946</v>
      </c>
      <c r="B2856">
        <v>68.97</v>
      </c>
      <c r="C2856" t="s">
        <v>6361</v>
      </c>
      <c r="D2856" t="s">
        <v>6362</v>
      </c>
      <c r="E2856" t="s">
        <v>23</v>
      </c>
      <c r="F2856" t="s">
        <v>106</v>
      </c>
      <c r="G2856">
        <v>2020</v>
      </c>
      <c r="H2856" t="s">
        <v>3423</v>
      </c>
      <c r="I2856" t="s">
        <v>6363</v>
      </c>
      <c r="K2856" t="s">
        <v>25</v>
      </c>
      <c r="L2856" t="s">
        <v>26</v>
      </c>
      <c r="M2856" t="b">
        <v>1</v>
      </c>
      <c r="N2856" t="s">
        <v>6364</v>
      </c>
      <c r="O2856" t="str">
        <f>"230.0411"</f>
        <v>230.0411</v>
      </c>
      <c r="Q2856" t="b">
        <v>0</v>
      </c>
      <c r="S2856" t="str">
        <f>"9780310106470"</f>
        <v>9780310106470</v>
      </c>
      <c r="T2856" t="str">
        <f>"9780310106487"</f>
        <v>9780310106487</v>
      </c>
      <c r="U2856" t="b">
        <v>0</v>
      </c>
      <c r="W2856" t="b">
        <v>0</v>
      </c>
    </row>
    <row r="2857" spans="1:23" x14ac:dyDescent="0.3">
      <c r="A2857">
        <v>2978945</v>
      </c>
      <c r="B2857">
        <v>172.47</v>
      </c>
      <c r="C2857" t="s">
        <v>3435</v>
      </c>
      <c r="E2857" t="s">
        <v>23</v>
      </c>
      <c r="F2857" t="s">
        <v>106</v>
      </c>
      <c r="G2857">
        <v>2021</v>
      </c>
      <c r="H2857" t="s">
        <v>5766</v>
      </c>
      <c r="I2857" t="s">
        <v>6365</v>
      </c>
      <c r="K2857" t="s">
        <v>25</v>
      </c>
      <c r="L2857" t="s">
        <v>26</v>
      </c>
      <c r="M2857" t="b">
        <v>1</v>
      </c>
      <c r="N2857" t="s">
        <v>6366</v>
      </c>
      <c r="O2857" t="str">
        <f>"226.306"</f>
        <v>226.306</v>
      </c>
      <c r="P2857" t="s">
        <v>930</v>
      </c>
      <c r="Q2857" t="b">
        <v>0</v>
      </c>
      <c r="S2857" t="str">
        <f>"9780310327158"</f>
        <v>9780310327158</v>
      </c>
      <c r="T2857" t="str">
        <f>"9780310120018"</f>
        <v>9780310120018</v>
      </c>
      <c r="U2857" t="b">
        <v>0</v>
      </c>
      <c r="W2857" t="b">
        <v>0</v>
      </c>
    </row>
    <row r="2858" spans="1:23" x14ac:dyDescent="0.3">
      <c r="A2858">
        <v>2978944</v>
      </c>
      <c r="B2858">
        <v>113.82</v>
      </c>
      <c r="C2858" t="s">
        <v>6367</v>
      </c>
      <c r="E2858" t="s">
        <v>23</v>
      </c>
      <c r="F2858" t="s">
        <v>106</v>
      </c>
      <c r="G2858">
        <v>2020</v>
      </c>
      <c r="H2858" t="s">
        <v>5768</v>
      </c>
      <c r="I2858" t="s">
        <v>6368</v>
      </c>
      <c r="K2858" t="s">
        <v>25</v>
      </c>
      <c r="L2858" t="s">
        <v>26</v>
      </c>
      <c r="M2858" t="b">
        <v>1</v>
      </c>
      <c r="N2858" t="s">
        <v>6369</v>
      </c>
      <c r="O2858" t="str">
        <f>"222.3/5/0922"</f>
        <v>222.3/5/0922</v>
      </c>
      <c r="P2858" t="s">
        <v>930</v>
      </c>
      <c r="Q2858" t="b">
        <v>0</v>
      </c>
      <c r="S2858" t="str">
        <f>"9780310490890"</f>
        <v>9780310490890</v>
      </c>
      <c r="T2858" t="str">
        <f>"9780310490906"</f>
        <v>9780310490906</v>
      </c>
      <c r="U2858" t="b">
        <v>0</v>
      </c>
      <c r="W2858" t="b">
        <v>0</v>
      </c>
    </row>
    <row r="2859" spans="1:23" x14ac:dyDescent="0.3">
      <c r="A2859">
        <v>2978943</v>
      </c>
      <c r="B2859">
        <v>189.72</v>
      </c>
      <c r="C2859" t="s">
        <v>133</v>
      </c>
      <c r="E2859" t="s">
        <v>23</v>
      </c>
      <c r="F2859" t="s">
        <v>106</v>
      </c>
      <c r="G2859">
        <v>2020</v>
      </c>
      <c r="H2859" t="s">
        <v>6370</v>
      </c>
      <c r="I2859" t="s">
        <v>6371</v>
      </c>
      <c r="K2859" t="s">
        <v>25</v>
      </c>
      <c r="L2859" t="s">
        <v>26</v>
      </c>
      <c r="M2859" t="b">
        <v>1</v>
      </c>
      <c r="N2859" t="s">
        <v>6372</v>
      </c>
      <c r="O2859" t="str">
        <f>"228.7"</f>
        <v>228.7</v>
      </c>
      <c r="P2859" t="s">
        <v>6373</v>
      </c>
      <c r="Q2859" t="b">
        <v>0</v>
      </c>
      <c r="S2859" t="str">
        <f>"9780310244172"</f>
        <v>9780310244172</v>
      </c>
      <c r="T2859" t="str">
        <f>"9780310102076"</f>
        <v>9780310102076</v>
      </c>
      <c r="U2859" t="b">
        <v>0</v>
      </c>
      <c r="W2859" t="b">
        <v>0</v>
      </c>
    </row>
    <row r="2860" spans="1:23" x14ac:dyDescent="0.3">
      <c r="A2860">
        <v>2978942</v>
      </c>
      <c r="B2860">
        <v>68.97</v>
      </c>
      <c r="C2860" t="s">
        <v>6374</v>
      </c>
      <c r="E2860" t="s">
        <v>23</v>
      </c>
      <c r="F2860" t="s">
        <v>106</v>
      </c>
      <c r="G2860">
        <v>2020</v>
      </c>
      <c r="H2860" t="s">
        <v>101</v>
      </c>
      <c r="I2860" t="s">
        <v>6375</v>
      </c>
      <c r="K2860" t="s">
        <v>25</v>
      </c>
      <c r="L2860" t="s">
        <v>26</v>
      </c>
      <c r="M2860" t="b">
        <v>1</v>
      </c>
      <c r="N2860" t="s">
        <v>6376</v>
      </c>
      <c r="O2860" t="str">
        <f>"227.307"</f>
        <v>227.307</v>
      </c>
      <c r="P2860" t="s">
        <v>6268</v>
      </c>
      <c r="Q2860" t="b">
        <v>0</v>
      </c>
      <c r="S2860" t="str">
        <f>"9780310114918"</f>
        <v>9780310114918</v>
      </c>
      <c r="T2860" t="str">
        <f>"9780310114925"</f>
        <v>9780310114925</v>
      </c>
      <c r="U2860" t="b">
        <v>0</v>
      </c>
      <c r="W2860" t="b">
        <v>0</v>
      </c>
    </row>
    <row r="2861" spans="1:23" x14ac:dyDescent="0.3">
      <c r="A2861">
        <v>2978941</v>
      </c>
      <c r="B2861">
        <v>86.22</v>
      </c>
      <c r="C2861" t="s">
        <v>6377</v>
      </c>
      <c r="D2861" t="s">
        <v>6378</v>
      </c>
      <c r="E2861" t="s">
        <v>23</v>
      </c>
      <c r="F2861" t="s">
        <v>106</v>
      </c>
      <c r="G2861">
        <v>2020</v>
      </c>
      <c r="H2861" t="s">
        <v>115</v>
      </c>
      <c r="I2861" t="s">
        <v>6379</v>
      </c>
      <c r="J2861" t="s">
        <v>812</v>
      </c>
      <c r="K2861" t="s">
        <v>25</v>
      </c>
      <c r="L2861" t="s">
        <v>26</v>
      </c>
      <c r="M2861" t="b">
        <v>1</v>
      </c>
      <c r="N2861" t="s">
        <v>6380</v>
      </c>
      <c r="O2861" t="str">
        <f>"230.046"</f>
        <v>230.046</v>
      </c>
      <c r="Q2861" t="b">
        <v>0</v>
      </c>
      <c r="S2861" t="str">
        <f>"9780310114079"</f>
        <v>9780310114079</v>
      </c>
      <c r="T2861" t="str">
        <f>"9780310114086"</f>
        <v>9780310114086</v>
      </c>
      <c r="U2861" t="b">
        <v>0</v>
      </c>
      <c r="V2861" t="s">
        <v>870</v>
      </c>
      <c r="W2861" t="b">
        <v>0</v>
      </c>
    </row>
    <row r="2862" spans="1:23" x14ac:dyDescent="0.3">
      <c r="A2862">
        <v>2978896</v>
      </c>
      <c r="B2862">
        <v>44.82</v>
      </c>
      <c r="C2862" t="s">
        <v>6386</v>
      </c>
      <c r="D2862" t="s">
        <v>6387</v>
      </c>
      <c r="E2862" t="s">
        <v>23</v>
      </c>
      <c r="F2862" t="s">
        <v>106</v>
      </c>
      <c r="G2862">
        <v>2020</v>
      </c>
      <c r="H2862" t="s">
        <v>1044</v>
      </c>
      <c r="K2862" t="s">
        <v>25</v>
      </c>
      <c r="L2862" t="s">
        <v>26</v>
      </c>
      <c r="M2862" t="b">
        <v>1</v>
      </c>
      <c r="N2862" t="s">
        <v>6283</v>
      </c>
      <c r="Q2862" t="b">
        <v>0</v>
      </c>
      <c r="S2862" t="str">
        <f>"9780310104063"</f>
        <v>9780310104063</v>
      </c>
      <c r="T2862" t="str">
        <f>"9780310104070"</f>
        <v>9780310104070</v>
      </c>
      <c r="U2862" t="b">
        <v>0</v>
      </c>
      <c r="W2862" t="b">
        <v>0</v>
      </c>
    </row>
    <row r="2863" spans="1:23" x14ac:dyDescent="0.3">
      <c r="A2863">
        <v>2975161</v>
      </c>
      <c r="B2863">
        <v>120.72</v>
      </c>
      <c r="C2863" t="s">
        <v>6417</v>
      </c>
      <c r="D2863" t="s">
        <v>6418</v>
      </c>
      <c r="E2863" t="s">
        <v>23</v>
      </c>
      <c r="F2863" t="s">
        <v>106</v>
      </c>
      <c r="G2863">
        <v>2020</v>
      </c>
      <c r="H2863" t="s">
        <v>98</v>
      </c>
      <c r="K2863" t="s">
        <v>25</v>
      </c>
      <c r="L2863" t="s">
        <v>26</v>
      </c>
      <c r="M2863" t="b">
        <v>1</v>
      </c>
      <c r="N2863" t="s">
        <v>6419</v>
      </c>
      <c r="Q2863" t="b">
        <v>0</v>
      </c>
      <c r="S2863" t="str">
        <f>"9780310521204"</f>
        <v>9780310521204</v>
      </c>
      <c r="T2863" t="str">
        <f>"9780310521228"</f>
        <v>9780310521228</v>
      </c>
      <c r="U2863" t="b">
        <v>0</v>
      </c>
      <c r="W2863" t="b">
        <v>0</v>
      </c>
    </row>
    <row r="2864" spans="1:23" x14ac:dyDescent="0.3">
      <c r="A2864">
        <v>2975160</v>
      </c>
      <c r="B2864">
        <v>206.97</v>
      </c>
      <c r="C2864" t="s">
        <v>6420</v>
      </c>
      <c r="D2864" t="s">
        <v>6421</v>
      </c>
      <c r="E2864" t="s">
        <v>23</v>
      </c>
      <c r="F2864" t="s">
        <v>106</v>
      </c>
      <c r="G2864">
        <v>2020</v>
      </c>
      <c r="H2864" t="s">
        <v>880</v>
      </c>
      <c r="I2864" t="s">
        <v>6422</v>
      </c>
      <c r="J2864" t="s">
        <v>6423</v>
      </c>
      <c r="K2864" t="s">
        <v>25</v>
      </c>
      <c r="L2864" t="s">
        <v>26</v>
      </c>
      <c r="M2864" t="b">
        <v>1</v>
      </c>
      <c r="N2864" t="s">
        <v>6424</v>
      </c>
      <c r="O2864" t="str">
        <f>"239.09"</f>
        <v>239.09</v>
      </c>
      <c r="Q2864" t="b">
        <v>0</v>
      </c>
      <c r="S2864" t="str">
        <f>"9780310559412"</f>
        <v>9780310559412</v>
      </c>
      <c r="T2864" t="str">
        <f>"9780310559559"</f>
        <v>9780310559559</v>
      </c>
      <c r="U2864" t="b">
        <v>0</v>
      </c>
      <c r="W2864" t="b">
        <v>0</v>
      </c>
    </row>
    <row r="2865" spans="1:23" x14ac:dyDescent="0.3">
      <c r="A2865">
        <v>2975159</v>
      </c>
      <c r="B2865">
        <v>862.47</v>
      </c>
      <c r="C2865" t="s">
        <v>6425</v>
      </c>
      <c r="D2865" t="s">
        <v>6426</v>
      </c>
      <c r="E2865" t="s">
        <v>23</v>
      </c>
      <c r="F2865" t="s">
        <v>106</v>
      </c>
      <c r="G2865">
        <v>2020</v>
      </c>
      <c r="H2865" t="s">
        <v>817</v>
      </c>
      <c r="I2865" t="s">
        <v>6427</v>
      </c>
      <c r="J2865" t="s">
        <v>895</v>
      </c>
      <c r="K2865" t="s">
        <v>25</v>
      </c>
      <c r="L2865" t="s">
        <v>26</v>
      </c>
      <c r="M2865" t="b">
        <v>1</v>
      </c>
      <c r="N2865" t="s">
        <v>6428</v>
      </c>
      <c r="O2865" t="str">
        <f>"220.7"</f>
        <v>220.7</v>
      </c>
      <c r="P2865" t="s">
        <v>6268</v>
      </c>
      <c r="Q2865" t="b">
        <v>0</v>
      </c>
      <c r="S2865" t="str">
        <f>"9780310115847"</f>
        <v>9780310115847</v>
      </c>
      <c r="T2865" t="str">
        <f>"9780310119555"</f>
        <v>9780310119555</v>
      </c>
      <c r="U2865" t="b">
        <v>0</v>
      </c>
      <c r="W2865" t="b">
        <v>0</v>
      </c>
    </row>
    <row r="2866" spans="1:23" x14ac:dyDescent="0.3">
      <c r="A2866">
        <v>2975158</v>
      </c>
      <c r="B2866">
        <v>79.319999999999993</v>
      </c>
      <c r="C2866" t="s">
        <v>6429</v>
      </c>
      <c r="D2866" t="s">
        <v>6430</v>
      </c>
      <c r="E2866" t="s">
        <v>23</v>
      </c>
      <c r="F2866" t="s">
        <v>106</v>
      </c>
      <c r="G2866">
        <v>2020</v>
      </c>
      <c r="H2866" t="s">
        <v>107</v>
      </c>
      <c r="I2866" t="s">
        <v>1256</v>
      </c>
      <c r="J2866" t="s">
        <v>6431</v>
      </c>
      <c r="K2866" t="s">
        <v>25</v>
      </c>
      <c r="L2866" t="s">
        <v>26</v>
      </c>
      <c r="M2866" t="b">
        <v>1</v>
      </c>
      <c r="N2866" t="s">
        <v>108</v>
      </c>
      <c r="O2866" t="str">
        <f>"261.8"</f>
        <v>261.8</v>
      </c>
      <c r="Q2866" t="b">
        <v>0</v>
      </c>
      <c r="S2866" t="str">
        <f>"9780310119487"</f>
        <v>9780310119487</v>
      </c>
      <c r="T2866" t="str">
        <f>"9780310119494"</f>
        <v>9780310119494</v>
      </c>
      <c r="U2866" t="b">
        <v>0</v>
      </c>
      <c r="W2866" t="b">
        <v>0</v>
      </c>
    </row>
    <row r="2867" spans="1:23" x14ac:dyDescent="0.3">
      <c r="A2867">
        <v>2975157</v>
      </c>
      <c r="B2867">
        <v>206.97</v>
      </c>
      <c r="C2867" t="s">
        <v>6432</v>
      </c>
      <c r="D2867" t="s">
        <v>6433</v>
      </c>
      <c r="E2867" t="s">
        <v>23</v>
      </c>
      <c r="F2867" t="s">
        <v>106</v>
      </c>
      <c r="G2867">
        <v>2020</v>
      </c>
      <c r="H2867" t="s">
        <v>6434</v>
      </c>
      <c r="K2867" t="s">
        <v>25</v>
      </c>
      <c r="L2867" t="s">
        <v>26</v>
      </c>
      <c r="M2867" t="b">
        <v>1</v>
      </c>
      <c r="N2867" t="s">
        <v>6435</v>
      </c>
      <c r="Q2867" t="b">
        <v>0</v>
      </c>
      <c r="S2867" t="str">
        <f>"9780310534723"</f>
        <v>9780310534723</v>
      </c>
      <c r="T2867" t="str">
        <f>"9780310534730"</f>
        <v>9780310534730</v>
      </c>
      <c r="U2867" t="b">
        <v>0</v>
      </c>
      <c r="W2867" t="b">
        <v>0</v>
      </c>
    </row>
    <row r="2868" spans="1:23" x14ac:dyDescent="0.3">
      <c r="A2868">
        <v>2975156</v>
      </c>
      <c r="B2868">
        <v>206.97</v>
      </c>
      <c r="C2868" t="s">
        <v>6436</v>
      </c>
      <c r="D2868" t="s">
        <v>6437</v>
      </c>
      <c r="E2868" t="s">
        <v>23</v>
      </c>
      <c r="F2868" t="s">
        <v>106</v>
      </c>
      <c r="G2868">
        <v>2020</v>
      </c>
      <c r="H2868" t="s">
        <v>6438</v>
      </c>
      <c r="K2868" t="s">
        <v>25</v>
      </c>
      <c r="L2868" t="s">
        <v>26</v>
      </c>
      <c r="M2868" t="b">
        <v>1</v>
      </c>
      <c r="N2868" t="s">
        <v>6439</v>
      </c>
      <c r="Q2868" t="b">
        <v>0</v>
      </c>
      <c r="S2868" t="str">
        <f>"9780310538998"</f>
        <v>9780310538998</v>
      </c>
      <c r="T2868" t="str">
        <f>"9780310539001"</f>
        <v>9780310539001</v>
      </c>
      <c r="U2868" t="b">
        <v>0</v>
      </c>
      <c r="W2868" t="b">
        <v>0</v>
      </c>
    </row>
    <row r="2869" spans="1:23" x14ac:dyDescent="0.3">
      <c r="A2869">
        <v>2975155</v>
      </c>
      <c r="B2869">
        <v>103.47</v>
      </c>
      <c r="C2869" t="s">
        <v>6440</v>
      </c>
      <c r="D2869" t="s">
        <v>6441</v>
      </c>
      <c r="E2869" t="s">
        <v>23</v>
      </c>
      <c r="F2869" t="s">
        <v>106</v>
      </c>
      <c r="G2869">
        <v>2020</v>
      </c>
      <c r="H2869" t="s">
        <v>759</v>
      </c>
      <c r="I2869" t="s">
        <v>6391</v>
      </c>
      <c r="J2869" t="s">
        <v>6442</v>
      </c>
      <c r="K2869" t="s">
        <v>25</v>
      </c>
      <c r="L2869" t="s">
        <v>26</v>
      </c>
      <c r="M2869" t="b">
        <v>1</v>
      </c>
      <c r="N2869" t="s">
        <v>6443</v>
      </c>
      <c r="O2869" t="str">
        <f>"261.7"</f>
        <v>261.7</v>
      </c>
      <c r="Q2869" t="b">
        <v>0</v>
      </c>
      <c r="S2869" t="str">
        <f>"9780310108849"</f>
        <v>9780310108849</v>
      </c>
      <c r="T2869" t="str">
        <f>"9780310108856"</f>
        <v>9780310108856</v>
      </c>
      <c r="U2869" t="b">
        <v>0</v>
      </c>
      <c r="W2869" t="b">
        <v>0</v>
      </c>
    </row>
    <row r="2870" spans="1:23" x14ac:dyDescent="0.3">
      <c r="A2870">
        <v>2975154</v>
      </c>
      <c r="B2870">
        <v>137.97</v>
      </c>
      <c r="C2870" t="s">
        <v>6444</v>
      </c>
      <c r="D2870" t="s">
        <v>6445</v>
      </c>
      <c r="E2870" t="s">
        <v>23</v>
      </c>
      <c r="F2870" t="s">
        <v>106</v>
      </c>
      <c r="G2870">
        <v>2021</v>
      </c>
      <c r="H2870" t="s">
        <v>6334</v>
      </c>
      <c r="I2870" t="s">
        <v>6446</v>
      </c>
      <c r="J2870" t="s">
        <v>6447</v>
      </c>
      <c r="K2870" t="s">
        <v>25</v>
      </c>
      <c r="L2870" t="s">
        <v>26</v>
      </c>
      <c r="M2870" t="b">
        <v>1</v>
      </c>
      <c r="N2870" t="s">
        <v>6448</v>
      </c>
      <c r="O2870" t="str">
        <f>"270.1"</f>
        <v>270.1</v>
      </c>
      <c r="Q2870" t="b">
        <v>0</v>
      </c>
      <c r="S2870" t="str">
        <f>"9780310097853"</f>
        <v>9780310097853</v>
      </c>
      <c r="T2870" t="str">
        <f>"9780310097860"</f>
        <v>9780310097860</v>
      </c>
      <c r="U2870" t="b">
        <v>0</v>
      </c>
      <c r="W2870" t="b">
        <v>0</v>
      </c>
    </row>
    <row r="2871" spans="1:23" x14ac:dyDescent="0.3">
      <c r="A2871">
        <v>2975153</v>
      </c>
      <c r="B2871">
        <v>103.47</v>
      </c>
      <c r="C2871" t="s">
        <v>6449</v>
      </c>
      <c r="D2871" t="s">
        <v>6450</v>
      </c>
      <c r="E2871" t="s">
        <v>23</v>
      </c>
      <c r="F2871" t="s">
        <v>106</v>
      </c>
      <c r="G2871">
        <v>2021</v>
      </c>
      <c r="H2871" t="s">
        <v>1261</v>
      </c>
      <c r="I2871" t="s">
        <v>6451</v>
      </c>
      <c r="J2871" t="s">
        <v>6452</v>
      </c>
      <c r="K2871" t="s">
        <v>25</v>
      </c>
      <c r="L2871" t="s">
        <v>26</v>
      </c>
      <c r="M2871" t="b">
        <v>1</v>
      </c>
      <c r="N2871" t="s">
        <v>6453</v>
      </c>
      <c r="O2871" t="str">
        <f>"241"</f>
        <v>241</v>
      </c>
      <c r="Q2871" t="b">
        <v>0</v>
      </c>
      <c r="S2871" t="str">
        <f>"9780310111955"</f>
        <v>9780310111955</v>
      </c>
      <c r="T2871" t="str">
        <f>"9780310111962"</f>
        <v>9780310111962</v>
      </c>
      <c r="U2871" t="b">
        <v>0</v>
      </c>
      <c r="W2871" t="b">
        <v>0</v>
      </c>
    </row>
    <row r="2872" spans="1:23" x14ac:dyDescent="0.3">
      <c r="A2872">
        <v>2975152</v>
      </c>
      <c r="B2872">
        <v>206.97</v>
      </c>
      <c r="C2872" t="s">
        <v>6454</v>
      </c>
      <c r="D2872" t="s">
        <v>892</v>
      </c>
      <c r="E2872" t="s">
        <v>23</v>
      </c>
      <c r="F2872" t="s">
        <v>106</v>
      </c>
      <c r="G2872">
        <v>2020</v>
      </c>
      <c r="H2872" t="s">
        <v>893</v>
      </c>
      <c r="I2872" t="s">
        <v>894</v>
      </c>
      <c r="J2872" t="s">
        <v>895</v>
      </c>
      <c r="K2872" t="s">
        <v>25</v>
      </c>
      <c r="L2872" t="s">
        <v>26</v>
      </c>
      <c r="M2872" t="b">
        <v>1</v>
      </c>
      <c r="N2872" t="s">
        <v>6455</v>
      </c>
      <c r="O2872" t="str">
        <f>"487.4"</f>
        <v>487.4</v>
      </c>
      <c r="Q2872" t="b">
        <v>0</v>
      </c>
      <c r="S2872" t="str">
        <f>"9780310108573"</f>
        <v>9780310108573</v>
      </c>
      <c r="T2872" t="str">
        <f>"9780310108580"</f>
        <v>9780310108580</v>
      </c>
      <c r="U2872" t="b">
        <v>0</v>
      </c>
      <c r="W2872" t="b">
        <v>0</v>
      </c>
    </row>
    <row r="2873" spans="1:23" x14ac:dyDescent="0.3">
      <c r="A2873">
        <v>2975151</v>
      </c>
      <c r="B2873">
        <v>155.22</v>
      </c>
      <c r="C2873" t="s">
        <v>6456</v>
      </c>
      <c r="E2873" t="s">
        <v>23</v>
      </c>
      <c r="F2873" t="s">
        <v>106</v>
      </c>
      <c r="G2873">
        <v>2021</v>
      </c>
      <c r="H2873" t="s">
        <v>893</v>
      </c>
      <c r="I2873" t="s">
        <v>6457</v>
      </c>
      <c r="J2873" t="s">
        <v>6458</v>
      </c>
      <c r="K2873" t="s">
        <v>25</v>
      </c>
      <c r="L2873" t="s">
        <v>26</v>
      </c>
      <c r="M2873" t="b">
        <v>1</v>
      </c>
      <c r="N2873" t="s">
        <v>6459</v>
      </c>
      <c r="O2873" t="str">
        <f>"438.24210242"</f>
        <v>438.24210242</v>
      </c>
      <c r="Q2873" t="b">
        <v>0</v>
      </c>
      <c r="S2873" t="str">
        <f>"9780310119388"</f>
        <v>9780310119388</v>
      </c>
      <c r="T2873" t="str">
        <f>"9780310119395"</f>
        <v>9780310119395</v>
      </c>
      <c r="U2873" t="b">
        <v>0</v>
      </c>
      <c r="W2873" t="b">
        <v>0</v>
      </c>
    </row>
    <row r="2874" spans="1:23" x14ac:dyDescent="0.3">
      <c r="A2874">
        <v>2975150</v>
      </c>
      <c r="B2874">
        <v>65.52</v>
      </c>
      <c r="C2874" t="s">
        <v>6460</v>
      </c>
      <c r="E2874" t="s">
        <v>23</v>
      </c>
      <c r="F2874" t="s">
        <v>106</v>
      </c>
      <c r="G2874">
        <v>2021</v>
      </c>
      <c r="H2874" t="s">
        <v>954</v>
      </c>
      <c r="I2874" t="s">
        <v>6461</v>
      </c>
      <c r="J2874" t="s">
        <v>6462</v>
      </c>
      <c r="K2874" t="s">
        <v>25</v>
      </c>
      <c r="L2874" t="s">
        <v>26</v>
      </c>
      <c r="M2874" t="b">
        <v>1</v>
      </c>
      <c r="N2874" t="s">
        <v>44</v>
      </c>
      <c r="O2874" t="str">
        <f>"eBook"</f>
        <v>eBook</v>
      </c>
      <c r="P2874" t="s">
        <v>6463</v>
      </c>
      <c r="Q2874" t="b">
        <v>0</v>
      </c>
      <c r="S2874" t="str">
        <f>"9780310598541"</f>
        <v>9780310598541</v>
      </c>
      <c r="T2874" t="str">
        <f>"9780310598558"</f>
        <v>9780310598558</v>
      </c>
      <c r="U2874" t="b">
        <v>0</v>
      </c>
      <c r="W2874" t="b">
        <v>0</v>
      </c>
    </row>
    <row r="2875" spans="1:23" x14ac:dyDescent="0.3">
      <c r="A2875">
        <v>2975149</v>
      </c>
      <c r="B2875">
        <v>68.97</v>
      </c>
      <c r="C2875" t="s">
        <v>6464</v>
      </c>
      <c r="E2875" t="s">
        <v>23</v>
      </c>
      <c r="F2875" t="s">
        <v>106</v>
      </c>
      <c r="G2875">
        <v>1989</v>
      </c>
      <c r="H2875" t="s">
        <v>817</v>
      </c>
      <c r="I2875" t="s">
        <v>818</v>
      </c>
      <c r="K2875" t="s">
        <v>25</v>
      </c>
      <c r="L2875" t="s">
        <v>26</v>
      </c>
      <c r="M2875" t="b">
        <v>1</v>
      </c>
      <c r="N2875" t="s">
        <v>6465</v>
      </c>
      <c r="O2875" t="str">
        <f>"224/.906"</f>
        <v>224/.906</v>
      </c>
      <c r="P2875" t="s">
        <v>6268</v>
      </c>
      <c r="Q2875" t="b">
        <v>0</v>
      </c>
      <c r="S2875" t="str">
        <f>"9780310115045"</f>
        <v>9780310115045</v>
      </c>
      <c r="T2875" t="str">
        <f>"9780310115052"</f>
        <v>9780310115052</v>
      </c>
      <c r="U2875" t="b">
        <v>0</v>
      </c>
      <c r="W2875" t="b">
        <v>0</v>
      </c>
    </row>
    <row r="2876" spans="1:23" x14ac:dyDescent="0.3">
      <c r="A2876">
        <v>2975148</v>
      </c>
      <c r="B2876">
        <v>93.12</v>
      </c>
      <c r="C2876" t="s">
        <v>6466</v>
      </c>
      <c r="D2876" t="s">
        <v>6467</v>
      </c>
      <c r="E2876" t="s">
        <v>23</v>
      </c>
      <c r="F2876" t="s">
        <v>106</v>
      </c>
      <c r="G2876">
        <v>2021</v>
      </c>
      <c r="H2876" t="s">
        <v>6385</v>
      </c>
      <c r="I2876" t="s">
        <v>6416</v>
      </c>
      <c r="J2876" t="s">
        <v>6468</v>
      </c>
      <c r="K2876" t="s">
        <v>25</v>
      </c>
      <c r="L2876" t="s">
        <v>26</v>
      </c>
      <c r="M2876" t="b">
        <v>1</v>
      </c>
      <c r="N2876" t="s">
        <v>6469</v>
      </c>
      <c r="O2876" t="str">
        <f>"261.85"</f>
        <v>261.85</v>
      </c>
      <c r="Q2876" t="b">
        <v>0</v>
      </c>
      <c r="S2876" t="str">
        <f>"9780310107286"</f>
        <v>9780310107286</v>
      </c>
      <c r="T2876" t="str">
        <f>"9780310107293"</f>
        <v>9780310107293</v>
      </c>
      <c r="U2876" t="b">
        <v>0</v>
      </c>
      <c r="W2876" t="b">
        <v>0</v>
      </c>
    </row>
    <row r="2877" spans="1:23" x14ac:dyDescent="0.3">
      <c r="A2877">
        <v>2975147</v>
      </c>
      <c r="B2877">
        <v>86.22</v>
      </c>
      <c r="C2877" t="s">
        <v>6470</v>
      </c>
      <c r="D2877" t="s">
        <v>6471</v>
      </c>
      <c r="E2877" t="s">
        <v>23</v>
      </c>
      <c r="F2877" t="s">
        <v>106</v>
      </c>
      <c r="G2877">
        <v>2021</v>
      </c>
      <c r="H2877" t="s">
        <v>5781</v>
      </c>
      <c r="I2877" t="s">
        <v>6472</v>
      </c>
      <c r="J2877" t="s">
        <v>6473</v>
      </c>
      <c r="K2877" t="s">
        <v>25</v>
      </c>
      <c r="L2877" t="s">
        <v>26</v>
      </c>
      <c r="M2877" t="b">
        <v>1</v>
      </c>
      <c r="N2877" t="s">
        <v>44</v>
      </c>
      <c r="O2877" t="str">
        <f>"222/.1206"</f>
        <v>222/.1206</v>
      </c>
      <c r="P2877" t="s">
        <v>6474</v>
      </c>
      <c r="Q2877" t="b">
        <v>0</v>
      </c>
      <c r="S2877" t="str">
        <f>"9780310108740"</f>
        <v>9780310108740</v>
      </c>
      <c r="T2877" t="str">
        <f>"9780310108757"</f>
        <v>9780310108757</v>
      </c>
      <c r="U2877" t="b">
        <v>0</v>
      </c>
      <c r="W2877" t="b">
        <v>0</v>
      </c>
    </row>
    <row r="2878" spans="1:23" x14ac:dyDescent="0.3">
      <c r="A2878">
        <v>2975146</v>
      </c>
      <c r="B2878">
        <v>79.319999999999993</v>
      </c>
      <c r="C2878" t="s">
        <v>6475</v>
      </c>
      <c r="D2878" t="s">
        <v>6476</v>
      </c>
      <c r="E2878" t="s">
        <v>23</v>
      </c>
      <c r="F2878" t="s">
        <v>106</v>
      </c>
      <c r="G2878">
        <v>2020</v>
      </c>
      <c r="H2878" t="s">
        <v>71</v>
      </c>
      <c r="I2878" t="s">
        <v>6477</v>
      </c>
      <c r="J2878" t="s">
        <v>6478</v>
      </c>
      <c r="K2878" t="s">
        <v>25</v>
      </c>
      <c r="L2878" t="s">
        <v>26</v>
      </c>
      <c r="M2878" t="b">
        <v>1</v>
      </c>
      <c r="N2878" t="s">
        <v>6479</v>
      </c>
      <c r="O2878" t="str">
        <f>"230.01"</f>
        <v>230.01</v>
      </c>
      <c r="Q2878" t="b">
        <v>0</v>
      </c>
      <c r="S2878" t="str">
        <f>"9780310104087"</f>
        <v>9780310104087</v>
      </c>
      <c r="T2878" t="str">
        <f>"9780310104094"</f>
        <v>9780310104094</v>
      </c>
      <c r="U2878" t="b">
        <v>0</v>
      </c>
      <c r="W2878" t="b">
        <v>0</v>
      </c>
    </row>
    <row r="2879" spans="1:23" x14ac:dyDescent="0.3">
      <c r="A2879">
        <v>2967433</v>
      </c>
      <c r="B2879">
        <v>7.07</v>
      </c>
      <c r="C2879" t="s">
        <v>6488</v>
      </c>
      <c r="D2879" t="s">
        <v>6489</v>
      </c>
      <c r="E2879" t="s">
        <v>49</v>
      </c>
      <c r="F2879" t="s">
        <v>106</v>
      </c>
      <c r="G2879">
        <v>2012</v>
      </c>
      <c r="H2879" t="s">
        <v>6490</v>
      </c>
      <c r="I2879" t="s">
        <v>6491</v>
      </c>
      <c r="K2879" t="s">
        <v>25</v>
      </c>
      <c r="L2879" t="s">
        <v>30</v>
      </c>
      <c r="M2879" t="b">
        <v>1</v>
      </c>
      <c r="N2879" t="s">
        <v>6492</v>
      </c>
      <c r="O2879" t="str">
        <f>"220.61"</f>
        <v>220.61</v>
      </c>
      <c r="Q2879" t="b">
        <v>0</v>
      </c>
      <c r="T2879" t="str">
        <f>"9780310496144"</f>
        <v>9780310496144</v>
      </c>
      <c r="U2879" t="b">
        <v>0</v>
      </c>
      <c r="W2879" t="b">
        <v>0</v>
      </c>
    </row>
    <row r="2880" spans="1:23" x14ac:dyDescent="0.3">
      <c r="A2880">
        <v>2950140</v>
      </c>
      <c r="B2880">
        <v>10.63</v>
      </c>
      <c r="C2880" t="s">
        <v>6493</v>
      </c>
      <c r="D2880" t="s">
        <v>6489</v>
      </c>
      <c r="E2880" t="s">
        <v>49</v>
      </c>
      <c r="F2880" t="s">
        <v>106</v>
      </c>
      <c r="G2880">
        <v>2012</v>
      </c>
      <c r="H2880" t="s">
        <v>6490</v>
      </c>
      <c r="K2880" t="s">
        <v>25</v>
      </c>
      <c r="L2880" t="s">
        <v>30</v>
      </c>
      <c r="M2880" t="b">
        <v>1</v>
      </c>
      <c r="N2880" t="s">
        <v>6492</v>
      </c>
      <c r="Q2880" t="b">
        <v>0</v>
      </c>
      <c r="T2880" t="str">
        <f>"9780310496137"</f>
        <v>9780310496137</v>
      </c>
      <c r="U2880" t="b">
        <v>0</v>
      </c>
      <c r="W2880" t="b">
        <v>0</v>
      </c>
    </row>
    <row r="2881" spans="1:23" x14ac:dyDescent="0.3">
      <c r="A2881">
        <v>2907211</v>
      </c>
      <c r="B2881">
        <v>65.52</v>
      </c>
      <c r="C2881" t="s">
        <v>6494</v>
      </c>
      <c r="D2881" t="s">
        <v>6495</v>
      </c>
      <c r="E2881" t="s">
        <v>23</v>
      </c>
      <c r="F2881" t="s">
        <v>44</v>
      </c>
      <c r="G2881">
        <v>2006</v>
      </c>
      <c r="H2881" t="s">
        <v>58</v>
      </c>
      <c r="K2881" t="s">
        <v>25</v>
      </c>
      <c r="L2881" t="s">
        <v>26</v>
      </c>
      <c r="M2881" t="b">
        <v>1</v>
      </c>
      <c r="N2881" t="s">
        <v>6496</v>
      </c>
      <c r="Q2881" t="b">
        <v>0</v>
      </c>
      <c r="S2881" t="str">
        <f>"9780310361244"</f>
        <v>9780310361244</v>
      </c>
      <c r="T2881" t="str">
        <f>"9780310565970"</f>
        <v>9780310565970</v>
      </c>
      <c r="U2881" t="b">
        <v>0</v>
      </c>
      <c r="W2881" t="b">
        <v>0</v>
      </c>
    </row>
    <row r="2882" spans="1:23" x14ac:dyDescent="0.3">
      <c r="A2882">
        <v>2736528</v>
      </c>
      <c r="B2882">
        <v>142.1</v>
      </c>
      <c r="C2882" t="s">
        <v>6497</v>
      </c>
      <c r="E2882" t="s">
        <v>49</v>
      </c>
      <c r="F2882" t="s">
        <v>106</v>
      </c>
      <c r="G2882">
        <v>2017</v>
      </c>
      <c r="H2882" t="s">
        <v>6498</v>
      </c>
      <c r="I2882" t="s">
        <v>6499</v>
      </c>
      <c r="K2882" t="s">
        <v>25</v>
      </c>
      <c r="L2882" t="s">
        <v>26</v>
      </c>
      <c r="M2882" t="b">
        <v>1</v>
      </c>
      <c r="N2882" t="s">
        <v>6500</v>
      </c>
      <c r="O2882" t="str">
        <f>"221.6/1"</f>
        <v>221.6/1</v>
      </c>
      <c r="Q2882" t="b">
        <v>0</v>
      </c>
      <c r="T2882" t="str">
        <f>"9780310590668"</f>
        <v>9780310590668</v>
      </c>
      <c r="U2882" t="b">
        <v>0</v>
      </c>
      <c r="V2882" t="s">
        <v>6501</v>
      </c>
      <c r="W2882" t="b">
        <v>0</v>
      </c>
    </row>
    <row r="2883" spans="1:23" x14ac:dyDescent="0.3">
      <c r="A2883">
        <v>2521046</v>
      </c>
      <c r="B2883">
        <v>55.17</v>
      </c>
      <c r="C2883" t="s">
        <v>6502</v>
      </c>
      <c r="D2883" t="s">
        <v>6503</v>
      </c>
      <c r="E2883" t="s">
        <v>23</v>
      </c>
      <c r="F2883" t="s">
        <v>44</v>
      </c>
      <c r="G2883">
        <v>2009</v>
      </c>
      <c r="H2883" t="s">
        <v>58</v>
      </c>
      <c r="I2883" t="s">
        <v>3383</v>
      </c>
      <c r="J2883" t="s">
        <v>895</v>
      </c>
      <c r="K2883" t="s">
        <v>25</v>
      </c>
      <c r="L2883" t="s">
        <v>30</v>
      </c>
      <c r="M2883" t="b">
        <v>1</v>
      </c>
      <c r="N2883" t="s">
        <v>973</v>
      </c>
      <c r="O2883" t="str">
        <f>"248.4"</f>
        <v>248.4</v>
      </c>
      <c r="Q2883" t="b">
        <v>0</v>
      </c>
      <c r="S2883" t="str">
        <f>"9780310259633"</f>
        <v>9780310259633</v>
      </c>
      <c r="T2883" t="str">
        <f>"9780310864769"</f>
        <v>9780310864769</v>
      </c>
      <c r="U2883" t="b">
        <v>0</v>
      </c>
      <c r="W2883" t="b">
        <v>0</v>
      </c>
    </row>
    <row r="2884" spans="1:23" x14ac:dyDescent="0.3">
      <c r="A2884">
        <v>2511983</v>
      </c>
      <c r="B2884">
        <v>137.97</v>
      </c>
      <c r="C2884" t="s">
        <v>3443</v>
      </c>
      <c r="E2884" t="s">
        <v>49</v>
      </c>
      <c r="F2884" t="s">
        <v>106</v>
      </c>
      <c r="G2884">
        <v>2021</v>
      </c>
      <c r="H2884" t="s">
        <v>927</v>
      </c>
      <c r="I2884" t="s">
        <v>6504</v>
      </c>
      <c r="K2884" t="s">
        <v>25</v>
      </c>
      <c r="L2884" t="s">
        <v>26</v>
      </c>
      <c r="M2884" t="b">
        <v>1</v>
      </c>
      <c r="N2884" t="s">
        <v>6505</v>
      </c>
      <c r="O2884" t="str">
        <f>"222/.13077"</f>
        <v>222/.13077</v>
      </c>
      <c r="P2884" t="s">
        <v>930</v>
      </c>
      <c r="Q2884" t="b">
        <v>0</v>
      </c>
      <c r="S2884" t="str">
        <f>"9780310490739"</f>
        <v>9780310490739</v>
      </c>
      <c r="T2884" t="str">
        <f>"9780310490746"</f>
        <v>9780310490746</v>
      </c>
      <c r="U2884" t="b">
        <v>0</v>
      </c>
      <c r="W2884" t="b">
        <v>0</v>
      </c>
    </row>
    <row r="2885" spans="1:23" x14ac:dyDescent="0.3">
      <c r="A2885">
        <v>2511982</v>
      </c>
      <c r="B2885">
        <v>172.47</v>
      </c>
      <c r="C2885" t="s">
        <v>1228</v>
      </c>
      <c r="E2885" t="s">
        <v>49</v>
      </c>
      <c r="F2885" t="s">
        <v>106</v>
      </c>
      <c r="G2885">
        <v>2021</v>
      </c>
      <c r="H2885" t="s">
        <v>6356</v>
      </c>
      <c r="I2885" t="s">
        <v>6506</v>
      </c>
      <c r="K2885" t="s">
        <v>25</v>
      </c>
      <c r="L2885" t="s">
        <v>26</v>
      </c>
      <c r="M2885" t="b">
        <v>1</v>
      </c>
      <c r="N2885" t="s">
        <v>6507</v>
      </c>
      <c r="O2885" t="str">
        <f>"222.1206"</f>
        <v>222.1206</v>
      </c>
      <c r="P2885" t="s">
        <v>6508</v>
      </c>
      <c r="Q2885" t="b">
        <v>0</v>
      </c>
      <c r="S2885" t="str">
        <f>"9780310490692"</f>
        <v>9780310490692</v>
      </c>
      <c r="T2885" t="str">
        <f>"9780310490715"</f>
        <v>9780310490715</v>
      </c>
      <c r="U2885" t="b">
        <v>0</v>
      </c>
      <c r="W2885" t="b">
        <v>0</v>
      </c>
    </row>
    <row r="2886" spans="1:23" x14ac:dyDescent="0.3">
      <c r="A2886">
        <v>2419421</v>
      </c>
      <c r="B2886">
        <v>68.97</v>
      </c>
      <c r="C2886" t="s">
        <v>6509</v>
      </c>
      <c r="D2886" t="s">
        <v>6510</v>
      </c>
      <c r="E2886" t="s">
        <v>49</v>
      </c>
      <c r="F2886" t="s">
        <v>106</v>
      </c>
      <c r="G2886">
        <v>2015</v>
      </c>
      <c r="H2886" t="s">
        <v>57</v>
      </c>
      <c r="K2886" t="s">
        <v>25</v>
      </c>
      <c r="L2886" t="s">
        <v>26</v>
      </c>
      <c r="M2886" t="b">
        <v>1</v>
      </c>
      <c r="N2886" t="s">
        <v>6325</v>
      </c>
      <c r="Q2886" t="b">
        <v>0</v>
      </c>
      <c r="S2886" t="str">
        <f>"9780310522843"</f>
        <v>9780310522843</v>
      </c>
      <c r="T2886" t="str">
        <f>"9780310522850"</f>
        <v>9780310522850</v>
      </c>
      <c r="U2886" t="b">
        <v>0</v>
      </c>
      <c r="W2886" t="b">
        <v>0</v>
      </c>
    </row>
    <row r="2887" spans="1:23" x14ac:dyDescent="0.3">
      <c r="A2887">
        <v>2380174</v>
      </c>
      <c r="B2887">
        <v>206.97</v>
      </c>
      <c r="C2887" t="s">
        <v>6511</v>
      </c>
      <c r="D2887" t="s">
        <v>6512</v>
      </c>
      <c r="E2887" t="s">
        <v>49</v>
      </c>
      <c r="F2887" t="s">
        <v>106</v>
      </c>
      <c r="G2887">
        <v>2019</v>
      </c>
      <c r="H2887" t="s">
        <v>98</v>
      </c>
      <c r="I2887" t="s">
        <v>6513</v>
      </c>
      <c r="J2887" t="s">
        <v>6514</v>
      </c>
      <c r="K2887" t="s">
        <v>25</v>
      </c>
      <c r="L2887" t="s">
        <v>26</v>
      </c>
      <c r="M2887" t="b">
        <v>1</v>
      </c>
      <c r="N2887" t="s">
        <v>5777</v>
      </c>
      <c r="O2887" t="str">
        <f>"227"</f>
        <v>227</v>
      </c>
      <c r="Q2887" t="b">
        <v>0</v>
      </c>
      <c r="S2887" t="str">
        <f>"9780310499305"</f>
        <v>9780310499305</v>
      </c>
      <c r="T2887" t="str">
        <f>"9780310499329"</f>
        <v>9780310499329</v>
      </c>
      <c r="U2887" t="b">
        <v>0</v>
      </c>
      <c r="W2887" t="b">
        <v>0</v>
      </c>
    </row>
    <row r="2888" spans="1:23" x14ac:dyDescent="0.3">
      <c r="A2888">
        <v>2380173</v>
      </c>
      <c r="B2888">
        <v>75.87</v>
      </c>
      <c r="C2888" t="s">
        <v>6515</v>
      </c>
      <c r="E2888" t="s">
        <v>49</v>
      </c>
      <c r="F2888" t="s">
        <v>106</v>
      </c>
      <c r="G2888">
        <v>2019</v>
      </c>
      <c r="H2888" t="s">
        <v>115</v>
      </c>
      <c r="I2888" t="s">
        <v>6516</v>
      </c>
      <c r="J2888" t="s">
        <v>6517</v>
      </c>
      <c r="K2888" t="s">
        <v>25</v>
      </c>
      <c r="L2888" t="s">
        <v>26</v>
      </c>
      <c r="M2888" t="b">
        <v>1</v>
      </c>
      <c r="N2888" t="s">
        <v>6518</v>
      </c>
      <c r="O2888" t="str">
        <f>"230.096"</f>
        <v>230.096</v>
      </c>
      <c r="Q2888" t="b">
        <v>0</v>
      </c>
      <c r="S2888" t="str">
        <f>"9780310107118"</f>
        <v>9780310107118</v>
      </c>
      <c r="T2888" t="str">
        <f>"9780310107125"</f>
        <v>9780310107125</v>
      </c>
      <c r="U2888" t="b">
        <v>0</v>
      </c>
      <c r="W2888" t="b">
        <v>0</v>
      </c>
    </row>
    <row r="2889" spans="1:23" x14ac:dyDescent="0.3">
      <c r="A2889">
        <v>2380172</v>
      </c>
      <c r="B2889">
        <v>86.22</v>
      </c>
      <c r="C2889" t="s">
        <v>6519</v>
      </c>
      <c r="E2889" t="s">
        <v>49</v>
      </c>
      <c r="F2889" t="s">
        <v>106</v>
      </c>
      <c r="G2889">
        <v>2019</v>
      </c>
      <c r="H2889" t="s">
        <v>1261</v>
      </c>
      <c r="I2889" t="s">
        <v>6520</v>
      </c>
      <c r="J2889" t="s">
        <v>6521</v>
      </c>
      <c r="K2889" t="s">
        <v>25</v>
      </c>
      <c r="L2889" t="s">
        <v>26</v>
      </c>
      <c r="M2889" t="b">
        <v>1</v>
      </c>
      <c r="N2889" t="s">
        <v>6518</v>
      </c>
      <c r="O2889" t="str">
        <f>"241.096"</f>
        <v>241.096</v>
      </c>
      <c r="Q2889" t="b">
        <v>0</v>
      </c>
      <c r="S2889" t="str">
        <f>"9780310107071"</f>
        <v>9780310107071</v>
      </c>
      <c r="T2889" t="str">
        <f>"9780310107088"</f>
        <v>9780310107088</v>
      </c>
      <c r="U2889" t="b">
        <v>0</v>
      </c>
      <c r="W2889" t="b">
        <v>0</v>
      </c>
    </row>
    <row r="2890" spans="1:23" x14ac:dyDescent="0.3">
      <c r="A2890">
        <v>2380171</v>
      </c>
      <c r="B2890">
        <v>44.82</v>
      </c>
      <c r="C2890" t="s">
        <v>6522</v>
      </c>
      <c r="D2890" t="s">
        <v>6523</v>
      </c>
      <c r="E2890" t="s">
        <v>49</v>
      </c>
      <c r="F2890" t="s">
        <v>106</v>
      </c>
      <c r="G2890">
        <v>2019</v>
      </c>
      <c r="H2890" t="s">
        <v>179</v>
      </c>
      <c r="K2890" t="s">
        <v>25</v>
      </c>
      <c r="L2890" t="s">
        <v>26</v>
      </c>
      <c r="M2890" t="b">
        <v>1</v>
      </c>
      <c r="N2890" t="s">
        <v>6524</v>
      </c>
      <c r="Q2890" t="b">
        <v>0</v>
      </c>
      <c r="S2890" t="str">
        <f>"9780310107040"</f>
        <v>9780310107040</v>
      </c>
      <c r="T2890" t="str">
        <f>"9780310107057"</f>
        <v>9780310107057</v>
      </c>
      <c r="U2890" t="b">
        <v>0</v>
      </c>
      <c r="W2890" t="b">
        <v>0</v>
      </c>
    </row>
    <row r="2891" spans="1:23" x14ac:dyDescent="0.3">
      <c r="A2891">
        <v>2380170</v>
      </c>
      <c r="B2891">
        <v>172.47</v>
      </c>
      <c r="C2891" t="s">
        <v>6525</v>
      </c>
      <c r="D2891" t="s">
        <v>6526</v>
      </c>
      <c r="E2891" t="s">
        <v>49</v>
      </c>
      <c r="F2891" t="s">
        <v>44</v>
      </c>
      <c r="G2891">
        <v>2019</v>
      </c>
      <c r="H2891" t="s">
        <v>3415</v>
      </c>
      <c r="I2891" t="s">
        <v>6527</v>
      </c>
      <c r="K2891" t="s">
        <v>25</v>
      </c>
      <c r="L2891" t="s">
        <v>26</v>
      </c>
      <c r="M2891" t="b">
        <v>1</v>
      </c>
      <c r="N2891" t="s">
        <v>44</v>
      </c>
      <c r="O2891" t="str">
        <f>"220.6/1"</f>
        <v>220.6/1</v>
      </c>
      <c r="Q2891" t="b">
        <v>0</v>
      </c>
      <c r="S2891" t="str">
        <f>"9780310537946"</f>
        <v>9780310537946</v>
      </c>
      <c r="T2891" t="str">
        <f>"9780310537953"</f>
        <v>9780310537953</v>
      </c>
      <c r="U2891" t="b">
        <v>0</v>
      </c>
      <c r="V2891" t="s">
        <v>6528</v>
      </c>
      <c r="W2891" t="b">
        <v>0</v>
      </c>
    </row>
    <row r="2892" spans="1:23" x14ac:dyDescent="0.3">
      <c r="A2892">
        <v>2380165</v>
      </c>
      <c r="B2892">
        <v>86.22</v>
      </c>
      <c r="C2892" t="s">
        <v>6529</v>
      </c>
      <c r="D2892" t="s">
        <v>6349</v>
      </c>
      <c r="E2892" t="s">
        <v>49</v>
      </c>
      <c r="F2892" t="s">
        <v>106</v>
      </c>
      <c r="G2892">
        <v>2019</v>
      </c>
      <c r="H2892" t="s">
        <v>893</v>
      </c>
      <c r="I2892" t="s">
        <v>894</v>
      </c>
      <c r="J2892" t="s">
        <v>6530</v>
      </c>
      <c r="K2892" t="s">
        <v>25</v>
      </c>
      <c r="L2892" t="s">
        <v>26</v>
      </c>
      <c r="M2892" t="b">
        <v>1</v>
      </c>
      <c r="N2892" t="s">
        <v>1145</v>
      </c>
      <c r="O2892" t="str">
        <f>"487.4"</f>
        <v>487.4</v>
      </c>
      <c r="P2892" t="s">
        <v>6531</v>
      </c>
      <c r="Q2892" t="b">
        <v>0</v>
      </c>
      <c r="S2892" t="str">
        <f>"9780310537472"</f>
        <v>9780310537472</v>
      </c>
      <c r="T2892" t="str">
        <f>"9780310537489"</f>
        <v>9780310537489</v>
      </c>
      <c r="U2892" t="b">
        <v>0</v>
      </c>
      <c r="V2892" t="s">
        <v>6277</v>
      </c>
      <c r="W2892" t="b">
        <v>0</v>
      </c>
    </row>
    <row r="2893" spans="1:23" x14ac:dyDescent="0.3">
      <c r="A2893">
        <v>2380164</v>
      </c>
      <c r="B2893">
        <v>206.97</v>
      </c>
      <c r="C2893" t="s">
        <v>6532</v>
      </c>
      <c r="D2893" t="s">
        <v>6349</v>
      </c>
      <c r="E2893" t="s">
        <v>49</v>
      </c>
      <c r="F2893" t="s">
        <v>106</v>
      </c>
      <c r="G2893">
        <v>2019</v>
      </c>
      <c r="H2893" t="s">
        <v>893</v>
      </c>
      <c r="I2893" t="s">
        <v>894</v>
      </c>
      <c r="J2893" t="s">
        <v>6533</v>
      </c>
      <c r="K2893" t="s">
        <v>25</v>
      </c>
      <c r="L2893" t="s">
        <v>26</v>
      </c>
      <c r="M2893" t="b">
        <v>1</v>
      </c>
      <c r="N2893" t="s">
        <v>1145</v>
      </c>
      <c r="O2893" t="str">
        <f>"487.4"</f>
        <v>487.4</v>
      </c>
      <c r="P2893" t="s">
        <v>6531</v>
      </c>
      <c r="Q2893" t="b">
        <v>0</v>
      </c>
      <c r="S2893" t="str">
        <f>"9780310537434"</f>
        <v>9780310537434</v>
      </c>
      <c r="T2893" t="str">
        <f>"9780310537441"</f>
        <v>9780310537441</v>
      </c>
      <c r="U2893" t="b">
        <v>0</v>
      </c>
      <c r="W2893" t="b">
        <v>0</v>
      </c>
    </row>
    <row r="2894" spans="1:23" x14ac:dyDescent="0.3">
      <c r="A2894">
        <v>2380155</v>
      </c>
      <c r="B2894">
        <v>41.37</v>
      </c>
      <c r="C2894" t="s">
        <v>6534</v>
      </c>
      <c r="E2894" t="s">
        <v>49</v>
      </c>
      <c r="F2894" t="s">
        <v>106</v>
      </c>
      <c r="G2894">
        <v>2019</v>
      </c>
      <c r="H2894" t="s">
        <v>830</v>
      </c>
      <c r="I2894" t="s">
        <v>6255</v>
      </c>
      <c r="K2894" t="s">
        <v>25</v>
      </c>
      <c r="L2894" t="s">
        <v>26</v>
      </c>
      <c r="M2894" t="b">
        <v>1</v>
      </c>
      <c r="N2894" t="s">
        <v>6535</v>
      </c>
      <c r="O2894" t="str">
        <f>"225.6/1"</f>
        <v>225.6/1</v>
      </c>
      <c r="P2894" t="s">
        <v>6536</v>
      </c>
      <c r="Q2894" t="b">
        <v>0</v>
      </c>
      <c r="S2894" t="str">
        <f>"9780310273141"</f>
        <v>9780310273141</v>
      </c>
      <c r="T2894" t="str">
        <f>"9780310109341"</f>
        <v>9780310109341</v>
      </c>
      <c r="U2894" t="b">
        <v>0</v>
      </c>
      <c r="W2894" t="b">
        <v>0</v>
      </c>
    </row>
    <row r="2895" spans="1:23" x14ac:dyDescent="0.3">
      <c r="A2895">
        <v>2380154</v>
      </c>
      <c r="B2895">
        <v>155.22</v>
      </c>
      <c r="C2895" t="s">
        <v>5780</v>
      </c>
      <c r="E2895" t="s">
        <v>49</v>
      </c>
      <c r="F2895" t="s">
        <v>106</v>
      </c>
      <c r="G2895">
        <v>2019</v>
      </c>
      <c r="H2895" t="s">
        <v>98</v>
      </c>
      <c r="I2895" t="s">
        <v>6239</v>
      </c>
      <c r="K2895" t="s">
        <v>25</v>
      </c>
      <c r="L2895" t="s">
        <v>26</v>
      </c>
      <c r="M2895" t="b">
        <v>1</v>
      </c>
      <c r="N2895" t="s">
        <v>831</v>
      </c>
      <c r="O2895" t="str">
        <f>"227/.8107"</f>
        <v>227/.8107</v>
      </c>
      <c r="P2895" t="s">
        <v>6537</v>
      </c>
      <c r="Q2895" t="b">
        <v>0</v>
      </c>
      <c r="S2895" t="str">
        <f>"9780310518716"</f>
        <v>9780310518716</v>
      </c>
      <c r="T2895" t="str">
        <f>"9780310518723"</f>
        <v>9780310518723</v>
      </c>
      <c r="U2895" t="b">
        <v>0</v>
      </c>
      <c r="W2895" t="b">
        <v>0</v>
      </c>
    </row>
    <row r="2896" spans="1:23" x14ac:dyDescent="0.3">
      <c r="A2896">
        <v>2380152</v>
      </c>
      <c r="B2896">
        <v>241.47</v>
      </c>
      <c r="C2896" t="s">
        <v>6538</v>
      </c>
      <c r="E2896" t="s">
        <v>49</v>
      </c>
      <c r="F2896" t="s">
        <v>106</v>
      </c>
      <c r="G2896">
        <v>2019</v>
      </c>
      <c r="H2896" t="s">
        <v>6539</v>
      </c>
      <c r="I2896" t="s">
        <v>6540</v>
      </c>
      <c r="J2896" t="s">
        <v>895</v>
      </c>
      <c r="K2896" t="s">
        <v>25</v>
      </c>
      <c r="L2896" t="s">
        <v>30</v>
      </c>
      <c r="M2896" t="b">
        <v>1</v>
      </c>
      <c r="N2896" t="s">
        <v>6541</v>
      </c>
      <c r="O2896" t="str">
        <f>"220.7"</f>
        <v>220.7</v>
      </c>
      <c r="P2896" t="s">
        <v>6542</v>
      </c>
      <c r="Q2896" t="b">
        <v>0</v>
      </c>
      <c r="S2896" t="str">
        <f>"9780310255192"</f>
        <v>9780310255192</v>
      </c>
      <c r="T2896" t="str">
        <f>"9780310109006"</f>
        <v>9780310109006</v>
      </c>
      <c r="U2896" t="b">
        <v>0</v>
      </c>
      <c r="W2896" t="b">
        <v>0</v>
      </c>
    </row>
    <row r="2897" spans="1:23" x14ac:dyDescent="0.3">
      <c r="A2897">
        <v>2380151</v>
      </c>
      <c r="B2897">
        <v>206.97</v>
      </c>
      <c r="C2897" t="s">
        <v>6543</v>
      </c>
      <c r="E2897" t="s">
        <v>49</v>
      </c>
      <c r="F2897" t="s">
        <v>106</v>
      </c>
      <c r="G2897">
        <v>2019</v>
      </c>
      <c r="H2897" t="s">
        <v>5755</v>
      </c>
      <c r="I2897" t="s">
        <v>6544</v>
      </c>
      <c r="K2897" t="s">
        <v>25</v>
      </c>
      <c r="L2897" t="s">
        <v>26</v>
      </c>
      <c r="M2897" t="b">
        <v>1</v>
      </c>
      <c r="N2897" t="s">
        <v>6545</v>
      </c>
      <c r="O2897" t="str">
        <f>"224/.506"</f>
        <v>224/.506</v>
      </c>
      <c r="P2897" t="s">
        <v>6546</v>
      </c>
      <c r="Q2897" t="b">
        <v>0</v>
      </c>
      <c r="S2897" t="str">
        <f>"9780310526155"</f>
        <v>9780310526155</v>
      </c>
      <c r="T2897" t="str">
        <f>"9780310526162"</f>
        <v>9780310526162</v>
      </c>
      <c r="U2897" t="b">
        <v>0</v>
      </c>
      <c r="W2897" t="b">
        <v>0</v>
      </c>
    </row>
    <row r="2898" spans="1:23" x14ac:dyDescent="0.3">
      <c r="A2898">
        <v>2380150</v>
      </c>
      <c r="B2898">
        <v>172.47</v>
      </c>
      <c r="C2898" t="s">
        <v>907</v>
      </c>
      <c r="E2898" t="s">
        <v>49</v>
      </c>
      <c r="F2898" t="s">
        <v>106</v>
      </c>
      <c r="G2898">
        <v>2019</v>
      </c>
      <c r="H2898" t="s">
        <v>57</v>
      </c>
      <c r="I2898" t="s">
        <v>6547</v>
      </c>
      <c r="K2898" t="s">
        <v>25</v>
      </c>
      <c r="L2898" t="s">
        <v>26</v>
      </c>
      <c r="M2898" t="b">
        <v>1</v>
      </c>
      <c r="N2898" t="s">
        <v>6548</v>
      </c>
      <c r="O2898" t="str">
        <f>"226.6/077"</f>
        <v>226.6/077</v>
      </c>
      <c r="P2898" t="s">
        <v>930</v>
      </c>
      <c r="Q2898" t="b">
        <v>0</v>
      </c>
      <c r="S2898" t="str">
        <f>"9780310327172"</f>
        <v>9780310327172</v>
      </c>
      <c r="T2898" t="str">
        <f>"9780310599050"</f>
        <v>9780310599050</v>
      </c>
      <c r="U2898" t="b">
        <v>0</v>
      </c>
      <c r="W2898" t="b">
        <v>0</v>
      </c>
    </row>
    <row r="2899" spans="1:23" x14ac:dyDescent="0.3">
      <c r="A2899">
        <v>2380149</v>
      </c>
      <c r="B2899">
        <v>137.97</v>
      </c>
      <c r="C2899" t="s">
        <v>6305</v>
      </c>
      <c r="E2899" t="s">
        <v>49</v>
      </c>
      <c r="F2899" t="s">
        <v>106</v>
      </c>
      <c r="G2899">
        <v>2019</v>
      </c>
      <c r="H2899" t="s">
        <v>927</v>
      </c>
      <c r="I2899" t="s">
        <v>6549</v>
      </c>
      <c r="K2899" t="s">
        <v>25</v>
      </c>
      <c r="L2899" t="s">
        <v>26</v>
      </c>
      <c r="M2899" t="b">
        <v>1</v>
      </c>
      <c r="N2899" t="s">
        <v>6550</v>
      </c>
      <c r="O2899" t="str">
        <f>"222.2077"</f>
        <v>222.2077</v>
      </c>
      <c r="P2899" t="s">
        <v>6551</v>
      </c>
      <c r="Q2899" t="b">
        <v>0</v>
      </c>
      <c r="S2899" t="str">
        <f>"9780310490838"</f>
        <v>9780310490838</v>
      </c>
      <c r="T2899" t="str">
        <f>"9780310490845"</f>
        <v>9780310490845</v>
      </c>
      <c r="U2899" t="b">
        <v>0</v>
      </c>
      <c r="W2899" t="b">
        <v>0</v>
      </c>
    </row>
    <row r="2900" spans="1:23" x14ac:dyDescent="0.3">
      <c r="A2900">
        <v>2380148</v>
      </c>
      <c r="B2900">
        <v>58.62</v>
      </c>
      <c r="C2900" t="s">
        <v>6552</v>
      </c>
      <c r="D2900" t="s">
        <v>6553</v>
      </c>
      <c r="E2900" t="s">
        <v>49</v>
      </c>
      <c r="F2900" t="s">
        <v>106</v>
      </c>
      <c r="G2900">
        <v>2015</v>
      </c>
      <c r="H2900" t="s">
        <v>893</v>
      </c>
      <c r="I2900" t="s">
        <v>6554</v>
      </c>
      <c r="K2900" t="s">
        <v>25</v>
      </c>
      <c r="L2900" t="s">
        <v>26</v>
      </c>
      <c r="M2900" t="b">
        <v>1</v>
      </c>
      <c r="N2900" t="s">
        <v>44</v>
      </c>
      <c r="O2900" t="str">
        <f>"242/.5"</f>
        <v>242/.5</v>
      </c>
      <c r="Q2900" t="b">
        <v>0</v>
      </c>
      <c r="S2900" t="str">
        <f>"9780310494539"</f>
        <v>9780310494539</v>
      </c>
      <c r="T2900" t="str">
        <f>"9780310524557"</f>
        <v>9780310524557</v>
      </c>
      <c r="U2900" t="b">
        <v>0</v>
      </c>
      <c r="W2900" t="b">
        <v>0</v>
      </c>
    </row>
    <row r="2901" spans="1:23" x14ac:dyDescent="0.3">
      <c r="A2901">
        <v>2380147</v>
      </c>
      <c r="B2901">
        <v>41.37</v>
      </c>
      <c r="C2901" t="s">
        <v>6555</v>
      </c>
      <c r="E2901" t="s">
        <v>49</v>
      </c>
      <c r="F2901" t="s">
        <v>106</v>
      </c>
      <c r="G2901">
        <v>2019</v>
      </c>
      <c r="H2901" t="s">
        <v>893</v>
      </c>
      <c r="I2901" t="s">
        <v>894</v>
      </c>
      <c r="J2901" t="s">
        <v>6556</v>
      </c>
      <c r="K2901" t="s">
        <v>25</v>
      </c>
      <c r="L2901" t="s">
        <v>26</v>
      </c>
      <c r="M2901" t="b">
        <v>1</v>
      </c>
      <c r="N2901" t="s">
        <v>1145</v>
      </c>
      <c r="O2901" t="str">
        <f>"487/.4"</f>
        <v>487/.4</v>
      </c>
      <c r="Q2901" t="b">
        <v>0</v>
      </c>
      <c r="S2901" t="str">
        <f>"9780310516613"</f>
        <v>9780310516613</v>
      </c>
      <c r="T2901" t="str">
        <f>"9780310109358"</f>
        <v>9780310109358</v>
      </c>
      <c r="U2901" t="b">
        <v>0</v>
      </c>
      <c r="W2901" t="b">
        <v>0</v>
      </c>
    </row>
    <row r="2902" spans="1:23" x14ac:dyDescent="0.3">
      <c r="A2902">
        <v>2380146</v>
      </c>
      <c r="B2902">
        <v>31.95</v>
      </c>
      <c r="C2902" t="s">
        <v>6557</v>
      </c>
      <c r="E2902" t="s">
        <v>49</v>
      </c>
      <c r="F2902" t="s">
        <v>106</v>
      </c>
      <c r="G2902">
        <v>2019</v>
      </c>
      <c r="H2902" t="s">
        <v>179</v>
      </c>
      <c r="I2902" t="s">
        <v>4576</v>
      </c>
      <c r="K2902" t="s">
        <v>25</v>
      </c>
      <c r="L2902" t="s">
        <v>26</v>
      </c>
      <c r="M2902" t="b">
        <v>1</v>
      </c>
      <c r="N2902" t="s">
        <v>884</v>
      </c>
      <c r="O2902" t="str">
        <f>"220.6/01"</f>
        <v>220.6/01</v>
      </c>
      <c r="P2902" t="s">
        <v>6536</v>
      </c>
      <c r="Q2902" t="b">
        <v>0</v>
      </c>
      <c r="S2902" t="str">
        <f>"9780310275145"</f>
        <v>9780310275145</v>
      </c>
      <c r="T2902" t="str">
        <f>"9780310109334"</f>
        <v>9780310109334</v>
      </c>
      <c r="U2902" t="b">
        <v>0</v>
      </c>
      <c r="W2902" t="b">
        <v>0</v>
      </c>
    </row>
    <row r="2903" spans="1:23" x14ac:dyDescent="0.3">
      <c r="A2903">
        <v>2380145</v>
      </c>
      <c r="B2903">
        <v>41.37</v>
      </c>
      <c r="C2903" t="s">
        <v>6558</v>
      </c>
      <c r="E2903" t="s">
        <v>49</v>
      </c>
      <c r="F2903" t="s">
        <v>106</v>
      </c>
      <c r="G2903">
        <v>2019</v>
      </c>
      <c r="H2903" t="s">
        <v>3423</v>
      </c>
      <c r="I2903" t="s">
        <v>6559</v>
      </c>
      <c r="K2903" t="s">
        <v>25</v>
      </c>
      <c r="L2903" t="s">
        <v>26</v>
      </c>
      <c r="M2903" t="b">
        <v>1</v>
      </c>
      <c r="N2903" t="s">
        <v>6560</v>
      </c>
      <c r="O2903" t="str">
        <f>"221.6/1"</f>
        <v>221.6/1</v>
      </c>
      <c r="P2903" t="s">
        <v>6536</v>
      </c>
      <c r="Q2903" t="b">
        <v>0</v>
      </c>
      <c r="S2903" t="str">
        <f>"9780310273189"</f>
        <v>9780310273189</v>
      </c>
      <c r="T2903" t="str">
        <f>"9780310109310"</f>
        <v>9780310109310</v>
      </c>
      <c r="U2903" t="b">
        <v>0</v>
      </c>
      <c r="W2903" t="b">
        <v>0</v>
      </c>
    </row>
    <row r="2904" spans="1:23" x14ac:dyDescent="0.3">
      <c r="A2904">
        <v>2380144</v>
      </c>
      <c r="B2904">
        <v>86.22</v>
      </c>
      <c r="C2904" t="s">
        <v>6561</v>
      </c>
      <c r="D2904" t="s">
        <v>6562</v>
      </c>
      <c r="E2904" t="s">
        <v>49</v>
      </c>
      <c r="F2904" t="s">
        <v>106</v>
      </c>
      <c r="G2904">
        <v>2019</v>
      </c>
      <c r="H2904" t="s">
        <v>880</v>
      </c>
      <c r="I2904" t="s">
        <v>6563</v>
      </c>
      <c r="K2904" t="s">
        <v>25</v>
      </c>
      <c r="L2904" t="s">
        <v>26</v>
      </c>
      <c r="M2904" t="b">
        <v>1</v>
      </c>
      <c r="N2904" t="s">
        <v>6564</v>
      </c>
      <c r="O2904" t="str">
        <f>"277.3"</f>
        <v>277.3</v>
      </c>
      <c r="Q2904" t="b">
        <v>0</v>
      </c>
      <c r="S2904" t="str">
        <f>"9780310586173"</f>
        <v>9780310586173</v>
      </c>
      <c r="T2904" t="str">
        <f>"9780310586180"</f>
        <v>9780310586180</v>
      </c>
      <c r="U2904" t="b">
        <v>0</v>
      </c>
      <c r="W2904" t="b">
        <v>0</v>
      </c>
    </row>
    <row r="2905" spans="1:23" x14ac:dyDescent="0.3">
      <c r="A2905">
        <v>2380143</v>
      </c>
      <c r="B2905">
        <v>79.319999999999993</v>
      </c>
      <c r="C2905" t="s">
        <v>6565</v>
      </c>
      <c r="E2905" t="s">
        <v>49</v>
      </c>
      <c r="F2905" t="s">
        <v>106</v>
      </c>
      <c r="G2905">
        <v>2019</v>
      </c>
      <c r="H2905" t="s">
        <v>6402</v>
      </c>
      <c r="I2905" t="s">
        <v>6566</v>
      </c>
      <c r="J2905" t="s">
        <v>6567</v>
      </c>
      <c r="K2905" t="s">
        <v>25</v>
      </c>
      <c r="L2905" t="s">
        <v>26</v>
      </c>
      <c r="M2905" t="b">
        <v>1</v>
      </c>
      <c r="N2905" t="s">
        <v>44</v>
      </c>
      <c r="O2905" t="str">
        <f>"202/.11"</f>
        <v>202/.11</v>
      </c>
      <c r="P2905" t="s">
        <v>6463</v>
      </c>
      <c r="Q2905" t="b">
        <v>0</v>
      </c>
      <c r="S2905" t="str">
        <f>"9780310538035"</f>
        <v>9780310538035</v>
      </c>
      <c r="T2905" t="str">
        <f>"9780310538042"</f>
        <v>9780310538042</v>
      </c>
      <c r="U2905" t="b">
        <v>0</v>
      </c>
      <c r="W2905" t="b">
        <v>0</v>
      </c>
    </row>
    <row r="2906" spans="1:23" x14ac:dyDescent="0.3">
      <c r="A2906">
        <v>2380142</v>
      </c>
      <c r="B2906">
        <v>120.72</v>
      </c>
      <c r="C2906" t="s">
        <v>6568</v>
      </c>
      <c r="D2906" t="s">
        <v>6569</v>
      </c>
      <c r="E2906" t="s">
        <v>49</v>
      </c>
      <c r="F2906" t="s">
        <v>106</v>
      </c>
      <c r="G2906">
        <v>2019</v>
      </c>
      <c r="H2906" t="s">
        <v>57</v>
      </c>
      <c r="I2906" t="s">
        <v>6570</v>
      </c>
      <c r="K2906" t="s">
        <v>25</v>
      </c>
      <c r="L2906" t="s">
        <v>26</v>
      </c>
      <c r="M2906" t="b">
        <v>1</v>
      </c>
      <c r="N2906" t="s">
        <v>6571</v>
      </c>
      <c r="O2906" t="str">
        <f>"232.9/08"</f>
        <v>232.9/08</v>
      </c>
      <c r="Q2906" t="b">
        <v>0</v>
      </c>
      <c r="S2906" t="str">
        <f>"9780310534761"</f>
        <v>9780310534761</v>
      </c>
      <c r="T2906" t="str">
        <f>"9780310534778"</f>
        <v>9780310534778</v>
      </c>
      <c r="U2906" t="b">
        <v>0</v>
      </c>
      <c r="W2906" t="b">
        <v>0</v>
      </c>
    </row>
    <row r="2907" spans="1:23" x14ac:dyDescent="0.3">
      <c r="A2907">
        <v>2380141</v>
      </c>
      <c r="B2907">
        <v>79.319999999999993</v>
      </c>
      <c r="C2907" t="s">
        <v>6572</v>
      </c>
      <c r="D2907" t="s">
        <v>6512</v>
      </c>
      <c r="E2907" t="s">
        <v>49</v>
      </c>
      <c r="F2907" t="s">
        <v>106</v>
      </c>
      <c r="G2907">
        <v>2019</v>
      </c>
      <c r="H2907" t="s">
        <v>98</v>
      </c>
      <c r="I2907" t="s">
        <v>6573</v>
      </c>
      <c r="J2907" t="s">
        <v>6574</v>
      </c>
      <c r="K2907" t="s">
        <v>25</v>
      </c>
      <c r="L2907" t="s">
        <v>26</v>
      </c>
      <c r="M2907" t="b">
        <v>1</v>
      </c>
      <c r="N2907" t="s">
        <v>5777</v>
      </c>
      <c r="O2907" t="str">
        <f>"220.52081"</f>
        <v>220.52081</v>
      </c>
      <c r="Q2907" t="b">
        <v>0</v>
      </c>
      <c r="S2907" t="str">
        <f>"9780310528708"</f>
        <v>9780310528708</v>
      </c>
      <c r="T2907" t="str">
        <f>"9780310528722"</f>
        <v>9780310528722</v>
      </c>
      <c r="U2907" t="b">
        <v>0</v>
      </c>
      <c r="W2907" t="b">
        <v>0</v>
      </c>
    </row>
    <row r="2908" spans="1:23" x14ac:dyDescent="0.3">
      <c r="A2908">
        <v>2380140</v>
      </c>
      <c r="B2908">
        <v>120.72</v>
      </c>
      <c r="C2908" t="s">
        <v>6575</v>
      </c>
      <c r="D2908" t="s">
        <v>6351</v>
      </c>
      <c r="E2908" t="s">
        <v>49</v>
      </c>
      <c r="F2908" t="s">
        <v>106</v>
      </c>
      <c r="G2908">
        <v>2019</v>
      </c>
      <c r="H2908" t="s">
        <v>115</v>
      </c>
      <c r="I2908" t="s">
        <v>6576</v>
      </c>
      <c r="J2908" t="s">
        <v>6577</v>
      </c>
      <c r="K2908" t="s">
        <v>25</v>
      </c>
      <c r="L2908" t="s">
        <v>26</v>
      </c>
      <c r="M2908" t="b">
        <v>1</v>
      </c>
      <c r="N2908" t="s">
        <v>6354</v>
      </c>
      <c r="O2908" t="str">
        <f>"231/.5"</f>
        <v>231/.5</v>
      </c>
      <c r="P2908" t="s">
        <v>6578</v>
      </c>
      <c r="Q2908" t="b">
        <v>0</v>
      </c>
      <c r="S2908" t="str">
        <f>"9780310106883"</f>
        <v>9780310106883</v>
      </c>
      <c r="T2908" t="str">
        <f>"9780310106890"</f>
        <v>9780310106890</v>
      </c>
      <c r="U2908" t="b">
        <v>0</v>
      </c>
      <c r="W2908" t="b">
        <v>0</v>
      </c>
    </row>
    <row r="2909" spans="1:23" x14ac:dyDescent="0.3">
      <c r="A2909">
        <v>2380139</v>
      </c>
      <c r="B2909">
        <v>65.52</v>
      </c>
      <c r="C2909" t="s">
        <v>6579</v>
      </c>
      <c r="D2909" t="s">
        <v>6580</v>
      </c>
      <c r="E2909" t="s">
        <v>49</v>
      </c>
      <c r="F2909" t="s">
        <v>106</v>
      </c>
      <c r="G2909">
        <v>2020</v>
      </c>
      <c r="H2909" t="s">
        <v>3527</v>
      </c>
      <c r="I2909" t="s">
        <v>3528</v>
      </c>
      <c r="J2909" t="s">
        <v>895</v>
      </c>
      <c r="K2909" t="s">
        <v>25</v>
      </c>
      <c r="L2909" t="s">
        <v>26</v>
      </c>
      <c r="M2909" t="b">
        <v>1</v>
      </c>
      <c r="N2909" t="s">
        <v>6581</v>
      </c>
      <c r="O2909" t="str">
        <f>"253.01"</f>
        <v>253.01</v>
      </c>
      <c r="Q2909" t="b">
        <v>0</v>
      </c>
      <c r="S2909" t="str">
        <f>"9780310093930"</f>
        <v>9780310093930</v>
      </c>
      <c r="T2909" t="str">
        <f>"9780310093947"</f>
        <v>9780310093947</v>
      </c>
      <c r="U2909" t="b">
        <v>0</v>
      </c>
      <c r="W2909" t="b">
        <v>0</v>
      </c>
    </row>
    <row r="2910" spans="1:23" x14ac:dyDescent="0.3">
      <c r="A2910">
        <v>2380138</v>
      </c>
      <c r="B2910">
        <v>41.37</v>
      </c>
      <c r="C2910" t="s">
        <v>6582</v>
      </c>
      <c r="E2910" t="s">
        <v>49</v>
      </c>
      <c r="F2910" t="s">
        <v>106</v>
      </c>
      <c r="G2910">
        <v>2019</v>
      </c>
      <c r="H2910" t="s">
        <v>893</v>
      </c>
      <c r="I2910" t="s">
        <v>6583</v>
      </c>
      <c r="J2910" t="s">
        <v>6584</v>
      </c>
      <c r="K2910" t="s">
        <v>25</v>
      </c>
      <c r="L2910" t="s">
        <v>26</v>
      </c>
      <c r="M2910" t="b">
        <v>1</v>
      </c>
      <c r="N2910" t="s">
        <v>6585</v>
      </c>
      <c r="O2910" t="str">
        <f>"487.4"</f>
        <v>487.4</v>
      </c>
      <c r="P2910" t="s">
        <v>6536</v>
      </c>
      <c r="Q2910" t="b">
        <v>0</v>
      </c>
      <c r="S2910" t="str">
        <f>"9780310292081"</f>
        <v>9780310292081</v>
      </c>
      <c r="T2910" t="str">
        <f>"9780310108290"</f>
        <v>9780310108290</v>
      </c>
      <c r="U2910" t="b">
        <v>0</v>
      </c>
      <c r="W2910" t="b">
        <v>0</v>
      </c>
    </row>
    <row r="2911" spans="1:23" x14ac:dyDescent="0.3">
      <c r="A2911">
        <v>2380137</v>
      </c>
      <c r="B2911">
        <v>68.97</v>
      </c>
      <c r="C2911" t="s">
        <v>6586</v>
      </c>
      <c r="E2911" t="s">
        <v>23</v>
      </c>
      <c r="F2911" t="s">
        <v>44</v>
      </c>
      <c r="G2911">
        <v>2019</v>
      </c>
      <c r="H2911" t="s">
        <v>880</v>
      </c>
      <c r="I2911" t="s">
        <v>6587</v>
      </c>
      <c r="J2911" t="s">
        <v>6336</v>
      </c>
      <c r="K2911" t="s">
        <v>25</v>
      </c>
      <c r="L2911" t="s">
        <v>26</v>
      </c>
      <c r="M2911" t="b">
        <v>1</v>
      </c>
      <c r="N2911" t="s">
        <v>6588</v>
      </c>
      <c r="O2911" t="str">
        <f>"270"</f>
        <v>270</v>
      </c>
      <c r="Q2911" t="b">
        <v>0</v>
      </c>
      <c r="S2911" t="str">
        <f>"9780310599487"</f>
        <v>9780310599487</v>
      </c>
      <c r="T2911" t="str">
        <f>"9780310599494"</f>
        <v>9780310599494</v>
      </c>
      <c r="U2911" t="b">
        <v>0</v>
      </c>
      <c r="W2911" t="b">
        <v>0</v>
      </c>
    </row>
    <row r="2912" spans="1:23" x14ac:dyDescent="0.3">
      <c r="A2912">
        <v>2380136</v>
      </c>
      <c r="B2912">
        <v>58.62</v>
      </c>
      <c r="C2912" t="s">
        <v>6589</v>
      </c>
      <c r="D2912" t="s">
        <v>6590</v>
      </c>
      <c r="E2912" t="s">
        <v>49</v>
      </c>
      <c r="F2912" t="s">
        <v>106</v>
      </c>
      <c r="G2912">
        <v>2019</v>
      </c>
      <c r="H2912" t="s">
        <v>115</v>
      </c>
      <c r="I2912" t="s">
        <v>6303</v>
      </c>
      <c r="J2912" t="s">
        <v>6591</v>
      </c>
      <c r="K2912" t="s">
        <v>25</v>
      </c>
      <c r="L2912" t="s">
        <v>26</v>
      </c>
      <c r="M2912" t="b">
        <v>1</v>
      </c>
      <c r="N2912" t="s">
        <v>6592</v>
      </c>
      <c r="O2912" t="str">
        <f>"230.01"</f>
        <v>230.01</v>
      </c>
      <c r="Q2912" t="b">
        <v>0</v>
      </c>
      <c r="S2912" t="str">
        <f>"9780310588801"</f>
        <v>9780310588801</v>
      </c>
      <c r="T2912" t="str">
        <f>"9780310588818"</f>
        <v>9780310588818</v>
      </c>
      <c r="U2912" t="b">
        <v>0</v>
      </c>
      <c r="W2912" t="b">
        <v>0</v>
      </c>
    </row>
    <row r="2913" spans="1:23" x14ac:dyDescent="0.3">
      <c r="A2913">
        <v>2380135</v>
      </c>
      <c r="B2913">
        <v>75.87</v>
      </c>
      <c r="C2913" t="s">
        <v>6593</v>
      </c>
      <c r="D2913" t="s">
        <v>6594</v>
      </c>
      <c r="E2913" t="s">
        <v>49</v>
      </c>
      <c r="F2913" t="s">
        <v>106</v>
      </c>
      <c r="G2913">
        <v>2019</v>
      </c>
      <c r="H2913" t="s">
        <v>830</v>
      </c>
      <c r="I2913" t="s">
        <v>6595</v>
      </c>
      <c r="J2913" t="s">
        <v>6596</v>
      </c>
      <c r="K2913" t="s">
        <v>25</v>
      </c>
      <c r="L2913" t="s">
        <v>26</v>
      </c>
      <c r="M2913" t="b">
        <v>1</v>
      </c>
      <c r="N2913" t="s">
        <v>6597</v>
      </c>
      <c r="O2913" t="str">
        <f>"228/.067"</f>
        <v>228/.067</v>
      </c>
      <c r="Q2913" t="b">
        <v>0</v>
      </c>
      <c r="S2913" t="str">
        <f>"9780310566236"</f>
        <v>9780310566236</v>
      </c>
      <c r="T2913" t="str">
        <f>"9780310566243"</f>
        <v>9780310566243</v>
      </c>
      <c r="U2913" t="b">
        <v>0</v>
      </c>
      <c r="W2913" t="b">
        <v>0</v>
      </c>
    </row>
    <row r="2914" spans="1:23" x14ac:dyDescent="0.3">
      <c r="A2914">
        <v>2380134</v>
      </c>
      <c r="B2914">
        <v>58.62</v>
      </c>
      <c r="C2914" t="s">
        <v>6598</v>
      </c>
      <c r="E2914" t="s">
        <v>49</v>
      </c>
      <c r="F2914" t="s">
        <v>44</v>
      </c>
      <c r="G2914">
        <v>2019</v>
      </c>
      <c r="H2914" t="s">
        <v>3415</v>
      </c>
      <c r="K2914" t="s">
        <v>25</v>
      </c>
      <c r="L2914" t="s">
        <v>26</v>
      </c>
      <c r="M2914" t="b">
        <v>1</v>
      </c>
      <c r="N2914" t="s">
        <v>2291</v>
      </c>
      <c r="Q2914" t="b">
        <v>0</v>
      </c>
      <c r="S2914" t="str">
        <f>"9780310566182"</f>
        <v>9780310566182</v>
      </c>
      <c r="T2914" t="str">
        <f>"9780310566199"</f>
        <v>9780310566199</v>
      </c>
      <c r="U2914" t="b">
        <v>0</v>
      </c>
      <c r="W2914" t="b">
        <v>0</v>
      </c>
    </row>
    <row r="2915" spans="1:23" x14ac:dyDescent="0.3">
      <c r="A2915">
        <v>2380133</v>
      </c>
      <c r="B2915">
        <v>103.47</v>
      </c>
      <c r="C2915" t="s">
        <v>6599</v>
      </c>
      <c r="D2915" t="s">
        <v>6600</v>
      </c>
      <c r="E2915" t="s">
        <v>49</v>
      </c>
      <c r="F2915" t="s">
        <v>106</v>
      </c>
      <c r="G2915">
        <v>2019</v>
      </c>
      <c r="H2915" t="s">
        <v>107</v>
      </c>
      <c r="I2915" t="s">
        <v>1207</v>
      </c>
      <c r="J2915" t="s">
        <v>6601</v>
      </c>
      <c r="K2915" t="s">
        <v>25</v>
      </c>
      <c r="L2915" t="s">
        <v>26</v>
      </c>
      <c r="M2915" t="b">
        <v>1</v>
      </c>
      <c r="N2915" t="s">
        <v>6602</v>
      </c>
      <c r="O2915" t="str">
        <f>"261"</f>
        <v>261</v>
      </c>
      <c r="Q2915" t="b">
        <v>0</v>
      </c>
      <c r="S2915" t="str">
        <f>"9780310534570"</f>
        <v>9780310534570</v>
      </c>
      <c r="T2915" t="str">
        <f>"9780310534587"</f>
        <v>9780310534587</v>
      </c>
      <c r="U2915" t="b">
        <v>0</v>
      </c>
      <c r="W2915" t="b">
        <v>0</v>
      </c>
    </row>
    <row r="2916" spans="1:23" x14ac:dyDescent="0.3">
      <c r="A2916">
        <v>2380132</v>
      </c>
      <c r="B2916">
        <v>103.47</v>
      </c>
      <c r="C2916" t="s">
        <v>3440</v>
      </c>
      <c r="D2916" t="s">
        <v>6603</v>
      </c>
      <c r="E2916" t="s">
        <v>49</v>
      </c>
      <c r="F2916" t="s">
        <v>106</v>
      </c>
      <c r="G2916">
        <v>2019</v>
      </c>
      <c r="H2916" t="s">
        <v>57</v>
      </c>
      <c r="I2916" t="s">
        <v>6604</v>
      </c>
      <c r="K2916" t="s">
        <v>25</v>
      </c>
      <c r="L2916" t="s">
        <v>26</v>
      </c>
      <c r="M2916" t="b">
        <v>1</v>
      </c>
      <c r="N2916" t="s">
        <v>6605</v>
      </c>
      <c r="O2916" t="str">
        <f>"226.507"</f>
        <v>226.507</v>
      </c>
      <c r="P2916" t="s">
        <v>6606</v>
      </c>
      <c r="Q2916" t="b">
        <v>0</v>
      </c>
      <c r="S2916" t="str">
        <f>"9780310528838"</f>
        <v>9780310528838</v>
      </c>
      <c r="T2916" t="str">
        <f>"9780310528852"</f>
        <v>9780310528852</v>
      </c>
      <c r="U2916" t="b">
        <v>0</v>
      </c>
      <c r="W2916" t="b">
        <v>0</v>
      </c>
    </row>
    <row r="2917" spans="1:23" x14ac:dyDescent="0.3">
      <c r="A2917">
        <v>2380131</v>
      </c>
      <c r="B2917">
        <v>120.72</v>
      </c>
      <c r="C2917" t="s">
        <v>6607</v>
      </c>
      <c r="D2917" t="s">
        <v>6608</v>
      </c>
      <c r="E2917" t="s">
        <v>49</v>
      </c>
      <c r="F2917" t="s">
        <v>106</v>
      </c>
      <c r="G2917">
        <v>2019</v>
      </c>
      <c r="H2917" t="s">
        <v>5760</v>
      </c>
      <c r="I2917" t="s">
        <v>6609</v>
      </c>
      <c r="J2917" t="s">
        <v>6610</v>
      </c>
      <c r="K2917" t="s">
        <v>25</v>
      </c>
      <c r="L2917" t="s">
        <v>26</v>
      </c>
      <c r="M2917" t="b">
        <v>1</v>
      </c>
      <c r="N2917" t="s">
        <v>6611</v>
      </c>
      <c r="O2917" t="str">
        <f>"234.5"</f>
        <v>234.5</v>
      </c>
      <c r="Q2917" t="b">
        <v>0</v>
      </c>
      <c r="S2917" t="str">
        <f>"9780310097648"</f>
        <v>9780310097648</v>
      </c>
      <c r="T2917" t="str">
        <f>"9780310097655"</f>
        <v>9780310097655</v>
      </c>
      <c r="U2917" t="b">
        <v>0</v>
      </c>
      <c r="W2917" t="b">
        <v>0</v>
      </c>
    </row>
    <row r="2918" spans="1:23" x14ac:dyDescent="0.3">
      <c r="A2918">
        <v>2380130</v>
      </c>
      <c r="B2918">
        <v>120.72</v>
      </c>
      <c r="C2918" t="s">
        <v>6612</v>
      </c>
      <c r="D2918" t="s">
        <v>6613</v>
      </c>
      <c r="E2918" t="s">
        <v>49</v>
      </c>
      <c r="F2918" t="s">
        <v>106</v>
      </c>
      <c r="G2918">
        <v>2019</v>
      </c>
      <c r="H2918" t="s">
        <v>115</v>
      </c>
      <c r="I2918" t="s">
        <v>6614</v>
      </c>
      <c r="J2918" t="s">
        <v>6615</v>
      </c>
      <c r="K2918" t="s">
        <v>25</v>
      </c>
      <c r="L2918" t="s">
        <v>26</v>
      </c>
      <c r="M2918" t="b">
        <v>1</v>
      </c>
      <c r="N2918" t="s">
        <v>6616</v>
      </c>
      <c r="O2918" t="str">
        <f>"230"</f>
        <v>230</v>
      </c>
      <c r="Q2918" t="b">
        <v>0</v>
      </c>
      <c r="S2918" t="str">
        <f>"9780310092766"</f>
        <v>9780310092766</v>
      </c>
      <c r="T2918" t="str">
        <f>"9780310092773"</f>
        <v>9780310092773</v>
      </c>
      <c r="U2918" t="b">
        <v>0</v>
      </c>
      <c r="W2918" t="b">
        <v>0</v>
      </c>
    </row>
    <row r="2919" spans="1:23" x14ac:dyDescent="0.3">
      <c r="A2919">
        <v>2380129</v>
      </c>
      <c r="B2919">
        <v>58.62</v>
      </c>
      <c r="C2919" t="s">
        <v>6617</v>
      </c>
      <c r="D2919" t="s">
        <v>6618</v>
      </c>
      <c r="E2919" t="s">
        <v>49</v>
      </c>
      <c r="F2919" t="s">
        <v>106</v>
      </c>
      <c r="G2919">
        <v>2019</v>
      </c>
      <c r="H2919" t="s">
        <v>954</v>
      </c>
      <c r="I2919" t="s">
        <v>6619</v>
      </c>
      <c r="J2919" t="s">
        <v>895</v>
      </c>
      <c r="K2919" t="s">
        <v>25</v>
      </c>
      <c r="L2919" t="s">
        <v>26</v>
      </c>
      <c r="M2919" t="b">
        <v>1</v>
      </c>
      <c r="N2919" t="s">
        <v>6620</v>
      </c>
      <c r="O2919" t="str">
        <f>"231.7/652"</f>
        <v>231.7/652</v>
      </c>
      <c r="Q2919" t="b">
        <v>0</v>
      </c>
      <c r="S2919" t="str">
        <f>"9780310595434"</f>
        <v>9780310595434</v>
      </c>
      <c r="T2919" t="str">
        <f>"9780310595441"</f>
        <v>9780310595441</v>
      </c>
      <c r="U2919" t="b">
        <v>0</v>
      </c>
      <c r="W2919" t="b">
        <v>0</v>
      </c>
    </row>
    <row r="2920" spans="1:23" x14ac:dyDescent="0.3">
      <c r="A2920">
        <v>2380128</v>
      </c>
      <c r="B2920">
        <v>58.62</v>
      </c>
      <c r="C2920" t="s">
        <v>6621</v>
      </c>
      <c r="D2920" t="s">
        <v>6622</v>
      </c>
      <c r="E2920" t="s">
        <v>49</v>
      </c>
      <c r="F2920" t="s">
        <v>106</v>
      </c>
      <c r="G2920">
        <v>2019</v>
      </c>
      <c r="H2920" t="s">
        <v>6402</v>
      </c>
      <c r="I2920" t="s">
        <v>6623</v>
      </c>
      <c r="J2920" t="s">
        <v>6624</v>
      </c>
      <c r="K2920" t="s">
        <v>25</v>
      </c>
      <c r="L2920" t="s">
        <v>26</v>
      </c>
      <c r="M2920" t="b">
        <v>1</v>
      </c>
      <c r="N2920" t="s">
        <v>6625</v>
      </c>
      <c r="O2920" t="str">
        <f>"261.2"</f>
        <v>261.2</v>
      </c>
      <c r="Q2920" t="b">
        <v>0</v>
      </c>
      <c r="S2920" t="str">
        <f>"9780310588603"</f>
        <v>9780310588603</v>
      </c>
      <c r="T2920" t="str">
        <f>"9780310588610"</f>
        <v>9780310588610</v>
      </c>
      <c r="U2920" t="b">
        <v>0</v>
      </c>
      <c r="W2920" t="b">
        <v>0</v>
      </c>
    </row>
    <row r="2921" spans="1:23" x14ac:dyDescent="0.3">
      <c r="A2921">
        <v>2380127</v>
      </c>
      <c r="B2921">
        <v>120.72</v>
      </c>
      <c r="C2921" t="s">
        <v>6626</v>
      </c>
      <c r="D2921" t="s">
        <v>6627</v>
      </c>
      <c r="E2921" t="s">
        <v>49</v>
      </c>
      <c r="F2921" t="s">
        <v>106</v>
      </c>
      <c r="G2921">
        <v>2019</v>
      </c>
      <c r="H2921" t="s">
        <v>6539</v>
      </c>
      <c r="I2921" t="s">
        <v>6628</v>
      </c>
      <c r="J2921" t="s">
        <v>6629</v>
      </c>
      <c r="K2921" t="s">
        <v>25</v>
      </c>
      <c r="L2921" t="s">
        <v>26</v>
      </c>
      <c r="M2921" t="b">
        <v>1</v>
      </c>
      <c r="N2921" t="s">
        <v>44</v>
      </c>
      <c r="O2921" t="str">
        <f>"230.089/927"</f>
        <v>230.089/927</v>
      </c>
      <c r="Q2921" t="b">
        <v>0</v>
      </c>
      <c r="S2921" t="str">
        <f>"9780310320265"</f>
        <v>9780310320265</v>
      </c>
      <c r="T2921" t="str">
        <f>"9780310555797"</f>
        <v>9780310555797</v>
      </c>
      <c r="U2921" t="b">
        <v>0</v>
      </c>
      <c r="W2921" t="b">
        <v>0</v>
      </c>
    </row>
    <row r="2922" spans="1:23" x14ac:dyDescent="0.3">
      <c r="A2922">
        <v>2380126</v>
      </c>
      <c r="B2922">
        <v>58.62</v>
      </c>
      <c r="C2922" t="s">
        <v>6630</v>
      </c>
      <c r="D2922" t="s">
        <v>6631</v>
      </c>
      <c r="E2922" t="s">
        <v>23</v>
      </c>
      <c r="F2922" t="s">
        <v>106</v>
      </c>
      <c r="G2922">
        <v>2019</v>
      </c>
      <c r="H2922" t="s">
        <v>5760</v>
      </c>
      <c r="I2922" t="s">
        <v>6632</v>
      </c>
      <c r="J2922" t="s">
        <v>6633</v>
      </c>
      <c r="K2922" t="s">
        <v>25</v>
      </c>
      <c r="L2922" t="s">
        <v>26</v>
      </c>
      <c r="M2922" t="b">
        <v>1</v>
      </c>
      <c r="N2922" t="s">
        <v>44</v>
      </c>
      <c r="O2922" t="str">
        <f>"234"</f>
        <v>234</v>
      </c>
      <c r="Q2922" t="b">
        <v>0</v>
      </c>
      <c r="S2922" t="str">
        <f>"9780310516323"</f>
        <v>9780310516323</v>
      </c>
      <c r="T2922" t="str">
        <f>"9780310516330"</f>
        <v>9780310516330</v>
      </c>
      <c r="U2922" t="b">
        <v>0</v>
      </c>
      <c r="W2922" t="b">
        <v>0</v>
      </c>
    </row>
    <row r="2923" spans="1:23" x14ac:dyDescent="0.3">
      <c r="A2923">
        <v>2380125</v>
      </c>
      <c r="B2923">
        <v>103.47</v>
      </c>
      <c r="C2923" t="s">
        <v>6484</v>
      </c>
      <c r="D2923" t="s">
        <v>6634</v>
      </c>
      <c r="E2923" t="s">
        <v>49</v>
      </c>
      <c r="F2923" t="s">
        <v>106</v>
      </c>
      <c r="G2923">
        <v>2019</v>
      </c>
      <c r="H2923" t="s">
        <v>3423</v>
      </c>
      <c r="I2923" t="s">
        <v>6635</v>
      </c>
      <c r="J2923" t="s">
        <v>6636</v>
      </c>
      <c r="K2923" t="s">
        <v>25</v>
      </c>
      <c r="L2923" t="s">
        <v>26</v>
      </c>
      <c r="M2923" t="b">
        <v>1</v>
      </c>
      <c r="N2923" t="s">
        <v>6400</v>
      </c>
      <c r="O2923" t="str">
        <f>"231.7/2"</f>
        <v>231.7/2</v>
      </c>
      <c r="P2923" t="s">
        <v>6637</v>
      </c>
      <c r="Q2923" t="b">
        <v>0</v>
      </c>
      <c r="S2923" t="str">
        <f>"9780310499855"</f>
        <v>9780310499855</v>
      </c>
      <c r="T2923" t="str">
        <f>"9780310499862"</f>
        <v>9780310499862</v>
      </c>
      <c r="U2923" t="b">
        <v>0</v>
      </c>
      <c r="W2923" t="b">
        <v>0</v>
      </c>
    </row>
    <row r="2924" spans="1:23" x14ac:dyDescent="0.3">
      <c r="A2924">
        <v>2380124</v>
      </c>
      <c r="B2924">
        <v>79.319999999999993</v>
      </c>
      <c r="C2924" t="s">
        <v>6638</v>
      </c>
      <c r="D2924" t="s">
        <v>3445</v>
      </c>
      <c r="E2924" t="s">
        <v>49</v>
      </c>
      <c r="F2924" t="s">
        <v>106</v>
      </c>
      <c r="G2924">
        <v>2019</v>
      </c>
      <c r="H2924" t="s">
        <v>893</v>
      </c>
      <c r="I2924" t="s">
        <v>6639</v>
      </c>
      <c r="J2924" t="s">
        <v>6640</v>
      </c>
      <c r="K2924" t="s">
        <v>25</v>
      </c>
      <c r="L2924" t="s">
        <v>26</v>
      </c>
      <c r="M2924" t="b">
        <v>1</v>
      </c>
      <c r="N2924" t="s">
        <v>1145</v>
      </c>
      <c r="O2924" t="str">
        <f>"487/.4"</f>
        <v>487/.4</v>
      </c>
      <c r="P2924" t="s">
        <v>6641</v>
      </c>
      <c r="Q2924" t="b">
        <v>0</v>
      </c>
      <c r="S2924" t="str">
        <f>"9780310598770"</f>
        <v>9780310598770</v>
      </c>
      <c r="T2924" t="str">
        <f>"9780310097716"</f>
        <v>9780310097716</v>
      </c>
      <c r="U2924" t="b">
        <v>0</v>
      </c>
      <c r="V2924" t="s">
        <v>870</v>
      </c>
      <c r="W2924" t="b">
        <v>0</v>
      </c>
    </row>
    <row r="2925" spans="1:23" x14ac:dyDescent="0.3">
      <c r="A2925">
        <v>2380123</v>
      </c>
      <c r="B2925">
        <v>79.319999999999993</v>
      </c>
      <c r="C2925" t="s">
        <v>6642</v>
      </c>
      <c r="D2925" t="s">
        <v>6643</v>
      </c>
      <c r="E2925" t="s">
        <v>49</v>
      </c>
      <c r="F2925" t="s">
        <v>106</v>
      </c>
      <c r="G2925">
        <v>2019</v>
      </c>
      <c r="H2925" t="s">
        <v>70</v>
      </c>
      <c r="I2925" t="s">
        <v>1207</v>
      </c>
      <c r="J2925" t="s">
        <v>895</v>
      </c>
      <c r="K2925" t="s">
        <v>25</v>
      </c>
      <c r="L2925" t="s">
        <v>26</v>
      </c>
      <c r="M2925" t="b">
        <v>1</v>
      </c>
      <c r="N2925" t="s">
        <v>6644</v>
      </c>
      <c r="O2925" t="str">
        <f>"261"</f>
        <v>261</v>
      </c>
      <c r="Q2925" t="b">
        <v>0</v>
      </c>
      <c r="S2925" t="str">
        <f>"9780310530497"</f>
        <v>9780310530497</v>
      </c>
      <c r="T2925" t="str">
        <f>"9780310530503"</f>
        <v>9780310530503</v>
      </c>
      <c r="U2925" t="b">
        <v>0</v>
      </c>
      <c r="W2925" t="b">
        <v>0</v>
      </c>
    </row>
    <row r="2926" spans="1:23" x14ac:dyDescent="0.3">
      <c r="A2926">
        <v>2380122</v>
      </c>
      <c r="B2926">
        <v>79.319999999999993</v>
      </c>
      <c r="C2926" t="s">
        <v>6645</v>
      </c>
      <c r="E2926" t="s">
        <v>49</v>
      </c>
      <c r="F2926" t="s">
        <v>106</v>
      </c>
      <c r="G2926">
        <v>2019</v>
      </c>
      <c r="H2926" t="s">
        <v>2603</v>
      </c>
      <c r="I2926" t="s">
        <v>6646</v>
      </c>
      <c r="J2926" t="s">
        <v>6647</v>
      </c>
      <c r="K2926" t="s">
        <v>25</v>
      </c>
      <c r="L2926" t="s">
        <v>26</v>
      </c>
      <c r="M2926" t="b">
        <v>1</v>
      </c>
      <c r="N2926" t="s">
        <v>44</v>
      </c>
      <c r="O2926" t="str">
        <f>"324.5"</f>
        <v>324.5</v>
      </c>
      <c r="P2926" t="s">
        <v>6648</v>
      </c>
      <c r="Q2926" t="b">
        <v>0</v>
      </c>
      <c r="S2926" t="str">
        <f>"9780310527718"</f>
        <v>9780310527718</v>
      </c>
      <c r="T2926" t="str">
        <f>"9780310527732"</f>
        <v>9780310527732</v>
      </c>
      <c r="U2926" t="b">
        <v>0</v>
      </c>
      <c r="W2926" t="b">
        <v>0</v>
      </c>
    </row>
    <row r="2927" spans="1:23" x14ac:dyDescent="0.3">
      <c r="A2927">
        <v>2380121</v>
      </c>
      <c r="B2927">
        <v>41.37</v>
      </c>
      <c r="C2927" t="s">
        <v>6649</v>
      </c>
      <c r="E2927" t="s">
        <v>23</v>
      </c>
      <c r="F2927" t="s">
        <v>106</v>
      </c>
      <c r="G2927">
        <v>2019</v>
      </c>
      <c r="H2927" t="s">
        <v>57</v>
      </c>
      <c r="I2927" t="s">
        <v>6324</v>
      </c>
      <c r="K2927" t="s">
        <v>25</v>
      </c>
      <c r="L2927" t="s">
        <v>26</v>
      </c>
      <c r="M2927" t="b">
        <v>1</v>
      </c>
      <c r="N2927" t="s">
        <v>6325</v>
      </c>
      <c r="O2927" t="str">
        <f>"226/.061"</f>
        <v>226/.061</v>
      </c>
      <c r="Q2927" t="b">
        <v>0</v>
      </c>
      <c r="S2927" t="str">
        <f>"9780310522874"</f>
        <v>9780310522874</v>
      </c>
      <c r="T2927" t="str">
        <f>"9780310109365"</f>
        <v>9780310109365</v>
      </c>
      <c r="U2927" t="b">
        <v>0</v>
      </c>
      <c r="W2927" t="b">
        <v>0</v>
      </c>
    </row>
    <row r="2928" spans="1:23" x14ac:dyDescent="0.3">
      <c r="A2928">
        <v>2380120</v>
      </c>
      <c r="B2928">
        <v>41.37</v>
      </c>
      <c r="C2928" t="s">
        <v>6650</v>
      </c>
      <c r="E2928" t="s">
        <v>49</v>
      </c>
      <c r="F2928" t="s">
        <v>106</v>
      </c>
      <c r="G2928">
        <v>2019</v>
      </c>
      <c r="H2928" t="s">
        <v>115</v>
      </c>
      <c r="K2928" t="s">
        <v>25</v>
      </c>
      <c r="L2928" t="s">
        <v>26</v>
      </c>
      <c r="M2928" t="b">
        <v>1</v>
      </c>
      <c r="N2928" t="s">
        <v>6651</v>
      </c>
      <c r="Q2928" t="b">
        <v>0</v>
      </c>
      <c r="S2928" t="str">
        <f>"9780310521532"</f>
        <v>9780310521532</v>
      </c>
      <c r="T2928" t="str">
        <f>"9780310521549"</f>
        <v>9780310521549</v>
      </c>
      <c r="U2928" t="b">
        <v>0</v>
      </c>
      <c r="W2928" t="b">
        <v>0</v>
      </c>
    </row>
    <row r="2929" spans="1:23" x14ac:dyDescent="0.3">
      <c r="A2929">
        <v>2380119</v>
      </c>
      <c r="B2929">
        <v>51.72</v>
      </c>
      <c r="C2929" t="s">
        <v>6652</v>
      </c>
      <c r="D2929" t="s">
        <v>6653</v>
      </c>
      <c r="E2929" t="s">
        <v>49</v>
      </c>
      <c r="F2929" t="s">
        <v>44</v>
      </c>
      <c r="G2929">
        <v>2019</v>
      </c>
      <c r="H2929" t="s">
        <v>6404</v>
      </c>
      <c r="I2929" t="s">
        <v>6654</v>
      </c>
      <c r="J2929" t="s">
        <v>895</v>
      </c>
      <c r="K2929" t="s">
        <v>25</v>
      </c>
      <c r="L2929" t="s">
        <v>26</v>
      </c>
      <c r="M2929" t="b">
        <v>1</v>
      </c>
      <c r="N2929" t="s">
        <v>6655</v>
      </c>
      <c r="O2929" t="str">
        <f>"261.27"</f>
        <v>261.27</v>
      </c>
      <c r="Q2929" t="b">
        <v>0</v>
      </c>
      <c r="S2929" t="str">
        <f>"9780310107149"</f>
        <v>9780310107149</v>
      </c>
      <c r="T2929" t="str">
        <f>"9780310107156"</f>
        <v>9780310107156</v>
      </c>
      <c r="U2929" t="b">
        <v>0</v>
      </c>
      <c r="W2929" t="b">
        <v>0</v>
      </c>
    </row>
    <row r="2930" spans="1:23" x14ac:dyDescent="0.3">
      <c r="A2930">
        <v>2380110</v>
      </c>
      <c r="B2930">
        <v>62.07</v>
      </c>
      <c r="C2930" t="s">
        <v>6656</v>
      </c>
      <c r="D2930" t="s">
        <v>6657</v>
      </c>
      <c r="E2930" t="s">
        <v>49</v>
      </c>
      <c r="F2930" t="s">
        <v>44</v>
      </c>
      <c r="G2930">
        <v>2020</v>
      </c>
      <c r="H2930" t="s">
        <v>3527</v>
      </c>
      <c r="I2930" t="s">
        <v>6658</v>
      </c>
      <c r="J2930" t="s">
        <v>895</v>
      </c>
      <c r="K2930" t="s">
        <v>25</v>
      </c>
      <c r="L2930" t="s">
        <v>26</v>
      </c>
      <c r="M2930" t="b">
        <v>1</v>
      </c>
      <c r="N2930" t="s">
        <v>6659</v>
      </c>
      <c r="O2930" t="str">
        <f>"343.7306/6"</f>
        <v>343.7306/6</v>
      </c>
      <c r="Q2930" t="b">
        <v>0</v>
      </c>
      <c r="S2930" t="str">
        <f>"9780310588788"</f>
        <v>9780310588788</v>
      </c>
      <c r="T2930" t="str">
        <f>"9780310115878"</f>
        <v>9780310115878</v>
      </c>
      <c r="U2930" t="b">
        <v>0</v>
      </c>
      <c r="W2930" t="b">
        <v>0</v>
      </c>
    </row>
    <row r="2931" spans="1:23" x14ac:dyDescent="0.3">
      <c r="A2931">
        <v>2380109</v>
      </c>
      <c r="B2931">
        <v>62.07</v>
      </c>
      <c r="C2931" t="s">
        <v>6660</v>
      </c>
      <c r="D2931" t="s">
        <v>6657</v>
      </c>
      <c r="E2931" t="s">
        <v>49</v>
      </c>
      <c r="F2931" t="s">
        <v>44</v>
      </c>
      <c r="G2931">
        <v>2020</v>
      </c>
      <c r="H2931" t="s">
        <v>3527</v>
      </c>
      <c r="K2931" t="s">
        <v>25</v>
      </c>
      <c r="L2931" t="s">
        <v>26</v>
      </c>
      <c r="M2931" t="b">
        <v>1</v>
      </c>
      <c r="N2931" t="s">
        <v>6659</v>
      </c>
      <c r="Q2931" t="b">
        <v>0</v>
      </c>
      <c r="S2931" t="str">
        <f>"9780310588795"</f>
        <v>9780310588795</v>
      </c>
      <c r="T2931" t="str">
        <f>"9780310115861"</f>
        <v>9780310115861</v>
      </c>
      <c r="U2931" t="b">
        <v>0</v>
      </c>
      <c r="W2931" t="b">
        <v>0</v>
      </c>
    </row>
    <row r="2932" spans="1:23" x14ac:dyDescent="0.3">
      <c r="A2932">
        <v>2380108</v>
      </c>
      <c r="B2932">
        <v>68.97</v>
      </c>
      <c r="C2932" t="s">
        <v>6661</v>
      </c>
      <c r="D2932" t="s">
        <v>6662</v>
      </c>
      <c r="E2932" t="s">
        <v>49</v>
      </c>
      <c r="F2932" t="s">
        <v>44</v>
      </c>
      <c r="G2932">
        <v>2019</v>
      </c>
      <c r="H2932" t="s">
        <v>70</v>
      </c>
      <c r="I2932" t="s">
        <v>6663</v>
      </c>
      <c r="J2932" t="s">
        <v>6664</v>
      </c>
      <c r="K2932" t="s">
        <v>25</v>
      </c>
      <c r="L2932" t="s">
        <v>26</v>
      </c>
      <c r="M2932" t="b">
        <v>1</v>
      </c>
      <c r="N2932" t="s">
        <v>2911</v>
      </c>
      <c r="O2932" t="str">
        <f>"239"</f>
        <v>239</v>
      </c>
      <c r="Q2932" t="b">
        <v>0</v>
      </c>
      <c r="S2932" t="str">
        <f>"9780310101468"</f>
        <v>9780310101468</v>
      </c>
      <c r="T2932" t="str">
        <f>"9780310101475"</f>
        <v>9780310101475</v>
      </c>
      <c r="U2932" t="b">
        <v>0</v>
      </c>
      <c r="V2932" t="s">
        <v>6665</v>
      </c>
      <c r="W2932" t="b">
        <v>0</v>
      </c>
    </row>
    <row r="2933" spans="1:23" x14ac:dyDescent="0.3">
      <c r="A2933">
        <v>2380107</v>
      </c>
      <c r="B2933">
        <v>86.22</v>
      </c>
      <c r="C2933" t="s">
        <v>6666</v>
      </c>
      <c r="D2933" t="s">
        <v>854</v>
      </c>
      <c r="E2933" t="s">
        <v>49</v>
      </c>
      <c r="F2933" t="s">
        <v>44</v>
      </c>
      <c r="G2933">
        <v>2019</v>
      </c>
      <c r="H2933" t="s">
        <v>732</v>
      </c>
      <c r="K2933" t="s">
        <v>25</v>
      </c>
      <c r="L2933" t="s">
        <v>26</v>
      </c>
      <c r="M2933" t="b">
        <v>1</v>
      </c>
      <c r="N2933" t="s">
        <v>855</v>
      </c>
      <c r="Q2933" t="b">
        <v>0</v>
      </c>
      <c r="S2933" t="str">
        <f>"9780310536659"</f>
        <v>9780310536659</v>
      </c>
      <c r="T2933" t="str">
        <f>"9780310099635"</f>
        <v>9780310099635</v>
      </c>
      <c r="U2933" t="b">
        <v>0</v>
      </c>
      <c r="W2933" t="b">
        <v>0</v>
      </c>
    </row>
    <row r="2934" spans="1:23" x14ac:dyDescent="0.3">
      <c r="A2934">
        <v>2380106</v>
      </c>
      <c r="B2934">
        <v>51.72</v>
      </c>
      <c r="C2934" t="s">
        <v>6667</v>
      </c>
      <c r="D2934" t="s">
        <v>6668</v>
      </c>
      <c r="E2934" t="s">
        <v>49</v>
      </c>
      <c r="F2934" t="s">
        <v>44</v>
      </c>
      <c r="G2934">
        <v>2019</v>
      </c>
      <c r="H2934" t="s">
        <v>736</v>
      </c>
      <c r="K2934" t="s">
        <v>25</v>
      </c>
      <c r="L2934" t="s">
        <v>26</v>
      </c>
      <c r="M2934" t="b">
        <v>1</v>
      </c>
      <c r="N2934" t="s">
        <v>6669</v>
      </c>
      <c r="Q2934" t="b">
        <v>0</v>
      </c>
      <c r="S2934" t="str">
        <f>"9780310100089"</f>
        <v>9780310100089</v>
      </c>
      <c r="T2934" t="str">
        <f>"9780310100140"</f>
        <v>9780310100140</v>
      </c>
      <c r="U2934" t="b">
        <v>0</v>
      </c>
      <c r="W2934" t="b">
        <v>0</v>
      </c>
    </row>
    <row r="2935" spans="1:23" x14ac:dyDescent="0.3">
      <c r="A2935">
        <v>2380105</v>
      </c>
      <c r="B2935">
        <v>89.67</v>
      </c>
      <c r="C2935" t="s">
        <v>6670</v>
      </c>
      <c r="D2935" t="s">
        <v>6671</v>
      </c>
      <c r="E2935" t="s">
        <v>49</v>
      </c>
      <c r="F2935" t="s">
        <v>44</v>
      </c>
      <c r="G2935">
        <v>2019</v>
      </c>
      <c r="H2935" t="s">
        <v>1122</v>
      </c>
      <c r="K2935" t="s">
        <v>25</v>
      </c>
      <c r="L2935" t="s">
        <v>26</v>
      </c>
      <c r="M2935" t="b">
        <v>1</v>
      </c>
      <c r="N2935" t="s">
        <v>3530</v>
      </c>
      <c r="Q2935" t="b">
        <v>0</v>
      </c>
      <c r="S2935" t="str">
        <f>"9780310577874"</f>
        <v>9780310577874</v>
      </c>
      <c r="T2935" t="str">
        <f>"9780310577881"</f>
        <v>9780310577881</v>
      </c>
      <c r="U2935" t="b">
        <v>0</v>
      </c>
      <c r="W2935" t="b">
        <v>0</v>
      </c>
    </row>
    <row r="2936" spans="1:23" x14ac:dyDescent="0.3">
      <c r="A2936">
        <v>2380104</v>
      </c>
      <c r="B2936">
        <v>44.82</v>
      </c>
      <c r="C2936" t="s">
        <v>6672</v>
      </c>
      <c r="D2936" t="s">
        <v>6673</v>
      </c>
      <c r="E2936" t="s">
        <v>49</v>
      </c>
      <c r="F2936" t="s">
        <v>44</v>
      </c>
      <c r="G2936">
        <v>2019</v>
      </c>
      <c r="H2936" t="s">
        <v>1221</v>
      </c>
      <c r="I2936" t="s">
        <v>6674</v>
      </c>
      <c r="J2936" t="s">
        <v>6675</v>
      </c>
      <c r="K2936" t="s">
        <v>25</v>
      </c>
      <c r="L2936" t="s">
        <v>26</v>
      </c>
      <c r="M2936" t="b">
        <v>1</v>
      </c>
      <c r="N2936" t="s">
        <v>6394</v>
      </c>
      <c r="O2936" t="str">
        <f>"362.76"</f>
        <v>362.76</v>
      </c>
      <c r="Q2936" t="b">
        <v>0</v>
      </c>
      <c r="S2936" t="str">
        <f>"9780310112082"</f>
        <v>9780310112082</v>
      </c>
      <c r="T2936" t="str">
        <f>"9780310112099"</f>
        <v>9780310112099</v>
      </c>
      <c r="U2936" t="b">
        <v>0</v>
      </c>
      <c r="W2936" t="b">
        <v>0</v>
      </c>
    </row>
    <row r="2937" spans="1:23" x14ac:dyDescent="0.3">
      <c r="A2937">
        <v>2380103</v>
      </c>
      <c r="B2937">
        <v>58.62</v>
      </c>
      <c r="C2937" t="s">
        <v>6676</v>
      </c>
      <c r="D2937" t="s">
        <v>6677</v>
      </c>
      <c r="E2937" t="s">
        <v>49</v>
      </c>
      <c r="F2937" t="s">
        <v>44</v>
      </c>
      <c r="G2937">
        <v>2019</v>
      </c>
      <c r="H2937" t="s">
        <v>99</v>
      </c>
      <c r="K2937" t="s">
        <v>25</v>
      </c>
      <c r="L2937" t="s">
        <v>26</v>
      </c>
      <c r="M2937" t="b">
        <v>1</v>
      </c>
      <c r="N2937" t="s">
        <v>6678</v>
      </c>
      <c r="P2937" t="s">
        <v>4112</v>
      </c>
      <c r="Q2937" t="b">
        <v>0</v>
      </c>
      <c r="S2937" t="str">
        <f>"9781628245912"</f>
        <v>9781628245912</v>
      </c>
      <c r="T2937" t="str">
        <f>"9780310108177"</f>
        <v>9780310108177</v>
      </c>
      <c r="U2937" t="b">
        <v>0</v>
      </c>
      <c r="W2937" t="b">
        <v>0</v>
      </c>
    </row>
    <row r="2938" spans="1:23" x14ac:dyDescent="0.3">
      <c r="A2938">
        <v>2380102</v>
      </c>
      <c r="B2938">
        <v>51.72</v>
      </c>
      <c r="C2938" t="s">
        <v>6679</v>
      </c>
      <c r="D2938" t="s">
        <v>6680</v>
      </c>
      <c r="E2938" t="s">
        <v>49</v>
      </c>
      <c r="F2938" t="s">
        <v>44</v>
      </c>
      <c r="G2938">
        <v>2019</v>
      </c>
      <c r="H2938" t="s">
        <v>70</v>
      </c>
      <c r="K2938" t="s">
        <v>25</v>
      </c>
      <c r="L2938" t="s">
        <v>26</v>
      </c>
      <c r="M2938" t="b">
        <v>1</v>
      </c>
      <c r="N2938" t="s">
        <v>6681</v>
      </c>
      <c r="Q2938" t="b">
        <v>0</v>
      </c>
      <c r="S2938" t="str">
        <f>"9780310107798"</f>
        <v>9780310107798</v>
      </c>
      <c r="T2938" t="str">
        <f>"9780310107804"</f>
        <v>9780310107804</v>
      </c>
      <c r="U2938" t="b">
        <v>0</v>
      </c>
      <c r="W2938" t="b">
        <v>0</v>
      </c>
    </row>
    <row r="2939" spans="1:23" x14ac:dyDescent="0.3">
      <c r="A2939">
        <v>2380101</v>
      </c>
      <c r="B2939">
        <v>86.22</v>
      </c>
      <c r="C2939" t="s">
        <v>6682</v>
      </c>
      <c r="D2939" t="s">
        <v>6683</v>
      </c>
      <c r="E2939" t="s">
        <v>49</v>
      </c>
      <c r="F2939" t="s">
        <v>44</v>
      </c>
      <c r="G2939">
        <v>2019</v>
      </c>
      <c r="H2939" t="s">
        <v>736</v>
      </c>
      <c r="K2939" t="s">
        <v>25</v>
      </c>
      <c r="L2939" t="s">
        <v>26</v>
      </c>
      <c r="M2939" t="b">
        <v>1</v>
      </c>
      <c r="N2939" t="s">
        <v>1099</v>
      </c>
      <c r="Q2939" t="b">
        <v>0</v>
      </c>
      <c r="S2939" t="str">
        <f>"9780310598695"</f>
        <v>9780310598695</v>
      </c>
      <c r="T2939" t="str">
        <f>"9780310598701"</f>
        <v>9780310598701</v>
      </c>
      <c r="U2939" t="b">
        <v>0</v>
      </c>
      <c r="W2939" t="b">
        <v>0</v>
      </c>
    </row>
    <row r="2940" spans="1:23" x14ac:dyDescent="0.3">
      <c r="A2940">
        <v>2380100</v>
      </c>
      <c r="B2940">
        <v>62.07</v>
      </c>
      <c r="C2940" t="s">
        <v>6684</v>
      </c>
      <c r="D2940" t="s">
        <v>6685</v>
      </c>
      <c r="E2940" t="s">
        <v>49</v>
      </c>
      <c r="F2940" t="s">
        <v>44</v>
      </c>
      <c r="G2940">
        <v>2019</v>
      </c>
      <c r="H2940" t="s">
        <v>6487</v>
      </c>
      <c r="I2940" t="s">
        <v>6686</v>
      </c>
      <c r="J2940" t="s">
        <v>6687</v>
      </c>
      <c r="K2940" t="s">
        <v>25</v>
      </c>
      <c r="L2940" t="s">
        <v>26</v>
      </c>
      <c r="M2940" t="b">
        <v>1</v>
      </c>
      <c r="N2940" t="s">
        <v>111</v>
      </c>
      <c r="O2940" t="str">
        <f>"248.8/6"</f>
        <v>248.8/6</v>
      </c>
      <c r="Q2940" t="b">
        <v>0</v>
      </c>
      <c r="S2940" t="str">
        <f>"9780310597209"</f>
        <v>9780310597209</v>
      </c>
      <c r="T2940" t="str">
        <f>"9780310597216"</f>
        <v>9780310597216</v>
      </c>
      <c r="U2940" t="b">
        <v>0</v>
      </c>
      <c r="W2940" t="b">
        <v>0</v>
      </c>
    </row>
    <row r="2941" spans="1:23" x14ac:dyDescent="0.3">
      <c r="A2941">
        <v>2380099</v>
      </c>
      <c r="B2941">
        <v>62.07</v>
      </c>
      <c r="C2941" t="s">
        <v>6688</v>
      </c>
      <c r="D2941" t="s">
        <v>6689</v>
      </c>
      <c r="E2941" t="s">
        <v>49</v>
      </c>
      <c r="F2941" t="s">
        <v>44</v>
      </c>
      <c r="G2941">
        <v>2019</v>
      </c>
      <c r="H2941" t="s">
        <v>107</v>
      </c>
      <c r="I2941" t="s">
        <v>1127</v>
      </c>
      <c r="J2941" t="s">
        <v>6690</v>
      </c>
      <c r="K2941" t="s">
        <v>25</v>
      </c>
      <c r="L2941" t="s">
        <v>26</v>
      </c>
      <c r="M2941" t="b">
        <v>1</v>
      </c>
      <c r="N2941" t="s">
        <v>6691</v>
      </c>
      <c r="O2941" t="str">
        <f>"277.3/08308664"</f>
        <v>277.3/08308664</v>
      </c>
      <c r="Q2941" t="b">
        <v>0</v>
      </c>
      <c r="S2941" t="str">
        <f>"9780310521402"</f>
        <v>9780310521402</v>
      </c>
      <c r="T2941" t="str">
        <f>"9780310521426"</f>
        <v>9780310521426</v>
      </c>
      <c r="U2941" t="b">
        <v>0</v>
      </c>
      <c r="W2941" t="b">
        <v>0</v>
      </c>
    </row>
    <row r="2942" spans="1:23" x14ac:dyDescent="0.3">
      <c r="A2942">
        <v>2380098</v>
      </c>
      <c r="B2942">
        <v>62.07</v>
      </c>
      <c r="C2942" t="s">
        <v>6692</v>
      </c>
      <c r="D2942" t="s">
        <v>6693</v>
      </c>
      <c r="E2942" t="s">
        <v>49</v>
      </c>
      <c r="F2942" t="s">
        <v>44</v>
      </c>
      <c r="G2942">
        <v>2019</v>
      </c>
      <c r="H2942" t="s">
        <v>804</v>
      </c>
      <c r="I2942" t="s">
        <v>6694</v>
      </c>
      <c r="J2942" t="s">
        <v>6695</v>
      </c>
      <c r="K2942" t="s">
        <v>25</v>
      </c>
      <c r="L2942" t="s">
        <v>26</v>
      </c>
      <c r="M2942" t="b">
        <v>1</v>
      </c>
      <c r="N2942" t="s">
        <v>6696</v>
      </c>
      <c r="O2942" t="str">
        <f>"254.1"</f>
        <v>254.1</v>
      </c>
      <c r="Q2942" t="b">
        <v>0</v>
      </c>
      <c r="S2942" t="str">
        <f>"9780310100997"</f>
        <v>9780310100997</v>
      </c>
      <c r="T2942" t="str">
        <f>"9780310101000"</f>
        <v>9780310101000</v>
      </c>
      <c r="U2942" t="b">
        <v>0</v>
      </c>
      <c r="W2942" t="b">
        <v>0</v>
      </c>
    </row>
    <row r="2943" spans="1:23" x14ac:dyDescent="0.3">
      <c r="A2943">
        <v>2380097</v>
      </c>
      <c r="B2943">
        <v>65.52</v>
      </c>
      <c r="C2943" t="s">
        <v>6697</v>
      </c>
      <c r="D2943" t="s">
        <v>6698</v>
      </c>
      <c r="E2943" t="s">
        <v>49</v>
      </c>
      <c r="F2943" t="s">
        <v>44</v>
      </c>
      <c r="G2943">
        <v>2019</v>
      </c>
      <c r="H2943" t="s">
        <v>45</v>
      </c>
      <c r="K2943" t="s">
        <v>25</v>
      </c>
      <c r="L2943" t="s">
        <v>26</v>
      </c>
      <c r="M2943" t="b">
        <v>1</v>
      </c>
      <c r="N2943" t="s">
        <v>6699</v>
      </c>
      <c r="Q2943" t="b">
        <v>0</v>
      </c>
      <c r="S2943" t="str">
        <f>"9780310100126"</f>
        <v>9780310100126</v>
      </c>
      <c r="T2943" t="str">
        <f>"9780310100133"</f>
        <v>9780310100133</v>
      </c>
      <c r="U2943" t="b">
        <v>0</v>
      </c>
      <c r="W2943" t="b">
        <v>0</v>
      </c>
    </row>
    <row r="2944" spans="1:23" x14ac:dyDescent="0.3">
      <c r="A2944">
        <v>2380096</v>
      </c>
      <c r="B2944">
        <v>65.52</v>
      </c>
      <c r="C2944" t="s">
        <v>6700</v>
      </c>
      <c r="D2944" t="s">
        <v>6701</v>
      </c>
      <c r="E2944" t="s">
        <v>23</v>
      </c>
      <c r="F2944" t="s">
        <v>44</v>
      </c>
      <c r="G2944">
        <v>2019</v>
      </c>
      <c r="H2944" t="s">
        <v>804</v>
      </c>
      <c r="I2944" t="s">
        <v>6694</v>
      </c>
      <c r="J2944" t="s">
        <v>895</v>
      </c>
      <c r="K2944" t="s">
        <v>25</v>
      </c>
      <c r="L2944" t="s">
        <v>26</v>
      </c>
      <c r="M2944" t="b">
        <v>1</v>
      </c>
      <c r="N2944" t="s">
        <v>6702</v>
      </c>
      <c r="O2944" t="str">
        <f>"254.5"</f>
        <v>254.5</v>
      </c>
      <c r="Q2944" t="b">
        <v>0</v>
      </c>
      <c r="S2944" t="str">
        <f>"9780310100102"</f>
        <v>9780310100102</v>
      </c>
      <c r="T2944" t="str">
        <f>"9780310100119"</f>
        <v>9780310100119</v>
      </c>
      <c r="U2944" t="b">
        <v>0</v>
      </c>
      <c r="W2944" t="b">
        <v>0</v>
      </c>
    </row>
    <row r="2945" spans="1:23" x14ac:dyDescent="0.3">
      <c r="A2945">
        <v>2380095</v>
      </c>
      <c r="B2945">
        <v>62.07</v>
      </c>
      <c r="C2945" t="s">
        <v>6703</v>
      </c>
      <c r="D2945" t="s">
        <v>6704</v>
      </c>
      <c r="E2945" t="s">
        <v>49</v>
      </c>
      <c r="F2945" t="s">
        <v>44</v>
      </c>
      <c r="G2945">
        <v>2019</v>
      </c>
      <c r="H2945" t="s">
        <v>751</v>
      </c>
      <c r="I2945" t="s">
        <v>6705</v>
      </c>
      <c r="J2945" t="s">
        <v>6706</v>
      </c>
      <c r="K2945" t="s">
        <v>25</v>
      </c>
      <c r="L2945" t="s">
        <v>26</v>
      </c>
      <c r="M2945" t="b">
        <v>1</v>
      </c>
      <c r="N2945" t="s">
        <v>6707</v>
      </c>
      <c r="O2945" t="str">
        <f>"254.5"</f>
        <v>254.5</v>
      </c>
      <c r="Q2945" t="b">
        <v>0</v>
      </c>
      <c r="S2945" t="str">
        <f>"9780310098355"</f>
        <v>9780310098355</v>
      </c>
      <c r="T2945" t="str">
        <f>"9780310093251"</f>
        <v>9780310093251</v>
      </c>
      <c r="U2945" t="b">
        <v>0</v>
      </c>
      <c r="W2945" t="b">
        <v>0</v>
      </c>
    </row>
    <row r="2946" spans="1:23" x14ac:dyDescent="0.3">
      <c r="A2946">
        <v>2380094</v>
      </c>
      <c r="B2946">
        <v>58.62</v>
      </c>
      <c r="C2946" t="s">
        <v>6708</v>
      </c>
      <c r="D2946" t="s">
        <v>6709</v>
      </c>
      <c r="E2946" t="s">
        <v>23</v>
      </c>
      <c r="F2946" t="s">
        <v>44</v>
      </c>
      <c r="G2946">
        <v>2019</v>
      </c>
      <c r="H2946" t="s">
        <v>736</v>
      </c>
      <c r="I2946" t="s">
        <v>6710</v>
      </c>
      <c r="J2946" t="s">
        <v>6711</v>
      </c>
      <c r="K2946" t="s">
        <v>25</v>
      </c>
      <c r="L2946" t="s">
        <v>26</v>
      </c>
      <c r="M2946" t="b">
        <v>1</v>
      </c>
      <c r="N2946" t="s">
        <v>4647</v>
      </c>
      <c r="O2946" t="str">
        <f>"248.4"</f>
        <v>248.4</v>
      </c>
      <c r="Q2946" t="b">
        <v>0</v>
      </c>
      <c r="S2946" t="str">
        <f>"9780310586067"</f>
        <v>9780310586067</v>
      </c>
      <c r="T2946" t="str">
        <f>"9780310586074"</f>
        <v>9780310586074</v>
      </c>
      <c r="U2946" t="b">
        <v>0</v>
      </c>
      <c r="W2946" t="b">
        <v>0</v>
      </c>
    </row>
    <row r="2947" spans="1:23" x14ac:dyDescent="0.3">
      <c r="A2947">
        <v>2380093</v>
      </c>
      <c r="B2947">
        <v>58.62</v>
      </c>
      <c r="C2947" t="s">
        <v>6712</v>
      </c>
      <c r="D2947" t="s">
        <v>6713</v>
      </c>
      <c r="E2947" t="s">
        <v>49</v>
      </c>
      <c r="F2947" t="s">
        <v>44</v>
      </c>
      <c r="G2947">
        <v>2019</v>
      </c>
      <c r="H2947" t="s">
        <v>99</v>
      </c>
      <c r="I2947" t="s">
        <v>6714</v>
      </c>
      <c r="J2947" t="s">
        <v>1231</v>
      </c>
      <c r="K2947" t="s">
        <v>25</v>
      </c>
      <c r="L2947" t="s">
        <v>26</v>
      </c>
      <c r="M2947" t="b">
        <v>1</v>
      </c>
      <c r="N2947" t="s">
        <v>6715</v>
      </c>
      <c r="O2947" t="str">
        <f>"231.7/2"</f>
        <v>231.7/2</v>
      </c>
      <c r="Q2947" t="b">
        <v>0</v>
      </c>
      <c r="S2947" t="str">
        <f>"9780310586029"</f>
        <v>9780310586029</v>
      </c>
      <c r="T2947" t="str">
        <f>"9780310586036"</f>
        <v>9780310586036</v>
      </c>
      <c r="U2947" t="b">
        <v>0</v>
      </c>
      <c r="W2947" t="b">
        <v>0</v>
      </c>
    </row>
    <row r="2948" spans="1:23" x14ac:dyDescent="0.3">
      <c r="A2948">
        <v>2380092</v>
      </c>
      <c r="B2948">
        <v>79.319999999999993</v>
      </c>
      <c r="C2948" t="s">
        <v>6716</v>
      </c>
      <c r="D2948" t="s">
        <v>6717</v>
      </c>
      <c r="E2948" t="s">
        <v>49</v>
      </c>
      <c r="F2948" t="s">
        <v>44</v>
      </c>
      <c r="G2948">
        <v>2019</v>
      </c>
      <c r="H2948" t="s">
        <v>52</v>
      </c>
      <c r="I2948" t="s">
        <v>4248</v>
      </c>
      <c r="J2948" t="s">
        <v>6718</v>
      </c>
      <c r="K2948" t="s">
        <v>25</v>
      </c>
      <c r="L2948" t="s">
        <v>26</v>
      </c>
      <c r="M2948" t="b">
        <v>1</v>
      </c>
      <c r="N2948" t="s">
        <v>6719</v>
      </c>
      <c r="O2948" t="str">
        <f>"259/.14"</f>
        <v>259/.14</v>
      </c>
      <c r="Q2948" t="b">
        <v>0</v>
      </c>
      <c r="S2948" t="str">
        <f>"9780310576273"</f>
        <v>9780310576273</v>
      </c>
      <c r="T2948" t="str">
        <f>"9780310577386"</f>
        <v>9780310577386</v>
      </c>
      <c r="U2948" t="b">
        <v>0</v>
      </c>
      <c r="W2948" t="b">
        <v>0</v>
      </c>
    </row>
    <row r="2949" spans="1:23" x14ac:dyDescent="0.3">
      <c r="A2949">
        <v>2380091</v>
      </c>
      <c r="B2949">
        <v>58.62</v>
      </c>
      <c r="C2949" t="s">
        <v>6720</v>
      </c>
      <c r="D2949" t="s">
        <v>6721</v>
      </c>
      <c r="E2949" t="s">
        <v>49</v>
      </c>
      <c r="F2949" t="s">
        <v>44</v>
      </c>
      <c r="G2949">
        <v>2019</v>
      </c>
      <c r="H2949" t="s">
        <v>1044</v>
      </c>
      <c r="I2949" t="s">
        <v>6281</v>
      </c>
      <c r="J2949" t="s">
        <v>6722</v>
      </c>
      <c r="K2949" t="s">
        <v>25</v>
      </c>
      <c r="L2949" t="s">
        <v>26</v>
      </c>
      <c r="M2949" t="b">
        <v>1</v>
      </c>
      <c r="N2949" t="s">
        <v>6707</v>
      </c>
      <c r="O2949" t="str">
        <f>"264"</f>
        <v>264</v>
      </c>
      <c r="Q2949" t="b">
        <v>0</v>
      </c>
      <c r="S2949" t="str">
        <f>"9780310566137"</f>
        <v>9780310566137</v>
      </c>
      <c r="T2949" t="str">
        <f>"9780310566144"</f>
        <v>9780310566144</v>
      </c>
      <c r="U2949" t="b">
        <v>0</v>
      </c>
      <c r="W2949" t="b">
        <v>0</v>
      </c>
    </row>
    <row r="2950" spans="1:23" x14ac:dyDescent="0.3">
      <c r="A2950">
        <v>2380090</v>
      </c>
      <c r="B2950">
        <v>65.52</v>
      </c>
      <c r="C2950" t="s">
        <v>6723</v>
      </c>
      <c r="D2950" t="s">
        <v>6724</v>
      </c>
      <c r="E2950" t="s">
        <v>49</v>
      </c>
      <c r="F2950" t="s">
        <v>44</v>
      </c>
      <c r="G2950">
        <v>2019</v>
      </c>
      <c r="H2950" t="s">
        <v>5848</v>
      </c>
      <c r="I2950" t="s">
        <v>6725</v>
      </c>
      <c r="J2950" t="s">
        <v>6726</v>
      </c>
      <c r="K2950" t="s">
        <v>25</v>
      </c>
      <c r="L2950" t="s">
        <v>26</v>
      </c>
      <c r="M2950" t="b">
        <v>1</v>
      </c>
      <c r="N2950" t="s">
        <v>6727</v>
      </c>
      <c r="O2950" t="str">
        <f>"254/.8"</f>
        <v>254/.8</v>
      </c>
      <c r="P2950" t="s">
        <v>6728</v>
      </c>
      <c r="Q2950" t="b">
        <v>0</v>
      </c>
      <c r="S2950" t="str">
        <f>"9780310093862"</f>
        <v>9780310093862</v>
      </c>
      <c r="T2950" t="str">
        <f>"9780310093879"</f>
        <v>9780310093879</v>
      </c>
      <c r="U2950" t="b">
        <v>0</v>
      </c>
      <c r="W2950" t="b">
        <v>0</v>
      </c>
    </row>
    <row r="2951" spans="1:23" x14ac:dyDescent="0.3">
      <c r="A2951">
        <v>2317715</v>
      </c>
      <c r="B2951">
        <v>10.63</v>
      </c>
      <c r="C2951" t="s">
        <v>6729</v>
      </c>
      <c r="D2951" t="s">
        <v>6489</v>
      </c>
      <c r="E2951" t="s">
        <v>49</v>
      </c>
      <c r="F2951" t="s">
        <v>106</v>
      </c>
      <c r="G2951">
        <v>2012</v>
      </c>
      <c r="H2951" t="s">
        <v>115</v>
      </c>
      <c r="K2951" t="s">
        <v>25</v>
      </c>
      <c r="L2951" t="s">
        <v>30</v>
      </c>
      <c r="M2951" t="b">
        <v>1</v>
      </c>
      <c r="N2951" t="s">
        <v>1026</v>
      </c>
      <c r="Q2951" t="b">
        <v>0</v>
      </c>
      <c r="T2951" t="str">
        <f>"9780310496427"</f>
        <v>9780310496427</v>
      </c>
      <c r="U2951" t="b">
        <v>0</v>
      </c>
      <c r="W2951" t="b">
        <v>0</v>
      </c>
    </row>
    <row r="2952" spans="1:23" x14ac:dyDescent="0.3">
      <c r="A2952">
        <v>2317714</v>
      </c>
      <c r="B2952">
        <v>10.63</v>
      </c>
      <c r="C2952" t="s">
        <v>6730</v>
      </c>
      <c r="D2952" t="s">
        <v>6489</v>
      </c>
      <c r="E2952" t="s">
        <v>23</v>
      </c>
      <c r="F2952" t="s">
        <v>106</v>
      </c>
      <c r="G2952">
        <v>2012</v>
      </c>
      <c r="H2952" t="s">
        <v>115</v>
      </c>
      <c r="I2952" t="s">
        <v>868</v>
      </c>
      <c r="J2952" t="s">
        <v>6731</v>
      </c>
      <c r="K2952" t="s">
        <v>25</v>
      </c>
      <c r="L2952" t="s">
        <v>30</v>
      </c>
      <c r="M2952" t="b">
        <v>1</v>
      </c>
      <c r="N2952" t="s">
        <v>1026</v>
      </c>
      <c r="O2952" t="str">
        <f>"230/.42"</f>
        <v>230/.42</v>
      </c>
      <c r="Q2952" t="b">
        <v>0</v>
      </c>
      <c r="T2952" t="str">
        <f>"9780310496304"</f>
        <v>9780310496304</v>
      </c>
      <c r="U2952" t="b">
        <v>0</v>
      </c>
      <c r="W2952" t="b">
        <v>0</v>
      </c>
    </row>
    <row r="2953" spans="1:23" x14ac:dyDescent="0.3">
      <c r="A2953">
        <v>2317712</v>
      </c>
      <c r="B2953">
        <v>10.63</v>
      </c>
      <c r="C2953" t="s">
        <v>6732</v>
      </c>
      <c r="D2953" t="s">
        <v>6489</v>
      </c>
      <c r="E2953" t="s">
        <v>49</v>
      </c>
      <c r="F2953" t="s">
        <v>106</v>
      </c>
      <c r="G2953">
        <v>2012</v>
      </c>
      <c r="H2953" t="s">
        <v>115</v>
      </c>
      <c r="K2953" t="s">
        <v>25</v>
      </c>
      <c r="L2953" t="s">
        <v>30</v>
      </c>
      <c r="M2953" t="b">
        <v>1</v>
      </c>
      <c r="N2953" t="s">
        <v>1026</v>
      </c>
      <c r="Q2953" t="b">
        <v>0</v>
      </c>
      <c r="T2953" t="str">
        <f>"9780310496298"</f>
        <v>9780310496298</v>
      </c>
      <c r="U2953" t="b">
        <v>0</v>
      </c>
      <c r="W2953" t="b">
        <v>0</v>
      </c>
    </row>
    <row r="2954" spans="1:23" x14ac:dyDescent="0.3">
      <c r="A2954">
        <v>2156728</v>
      </c>
      <c r="B2954">
        <v>49.71</v>
      </c>
      <c r="C2954" t="s">
        <v>6741</v>
      </c>
      <c r="D2954" t="s">
        <v>6742</v>
      </c>
      <c r="E2954" t="s">
        <v>23</v>
      </c>
      <c r="F2954" t="s">
        <v>44</v>
      </c>
      <c r="G2954">
        <v>2016</v>
      </c>
      <c r="H2954" t="s">
        <v>912</v>
      </c>
      <c r="I2954" t="s">
        <v>6743</v>
      </c>
      <c r="J2954" t="s">
        <v>6744</v>
      </c>
      <c r="K2954" t="s">
        <v>25</v>
      </c>
      <c r="L2954" t="s">
        <v>26</v>
      </c>
      <c r="M2954" t="b">
        <v>1</v>
      </c>
      <c r="N2954" t="s">
        <v>6745</v>
      </c>
      <c r="O2954" t="str">
        <f>"248.2/46092;B"</f>
        <v>248.2/46092;B</v>
      </c>
      <c r="Q2954" t="b">
        <v>0</v>
      </c>
      <c r="T2954" t="str">
        <f>"9780310527244"</f>
        <v>9780310527244</v>
      </c>
      <c r="U2954" t="b">
        <v>0</v>
      </c>
      <c r="W2954" t="b">
        <v>0</v>
      </c>
    </row>
    <row r="2955" spans="1:23" x14ac:dyDescent="0.3">
      <c r="A2955">
        <v>2156727</v>
      </c>
      <c r="B2955">
        <v>41.97</v>
      </c>
      <c r="C2955" t="s">
        <v>6746</v>
      </c>
      <c r="D2955" t="s">
        <v>6747</v>
      </c>
      <c r="E2955" t="s">
        <v>23</v>
      </c>
      <c r="F2955" t="s">
        <v>44</v>
      </c>
      <c r="G2955">
        <v>2018</v>
      </c>
      <c r="H2955" t="s">
        <v>3527</v>
      </c>
      <c r="K2955" t="s">
        <v>25</v>
      </c>
      <c r="L2955" t="s">
        <v>30</v>
      </c>
      <c r="M2955" t="b">
        <v>1</v>
      </c>
      <c r="N2955" t="s">
        <v>6748</v>
      </c>
      <c r="Q2955" t="b">
        <v>0</v>
      </c>
      <c r="T2955" t="str">
        <f>"9780310597100"</f>
        <v>9780310597100</v>
      </c>
      <c r="U2955" t="b">
        <v>0</v>
      </c>
      <c r="W2955" t="b">
        <v>0</v>
      </c>
    </row>
    <row r="2956" spans="1:23" x14ac:dyDescent="0.3">
      <c r="A2956">
        <v>2156536</v>
      </c>
      <c r="B2956">
        <v>53.97</v>
      </c>
      <c r="C2956" t="s">
        <v>6749</v>
      </c>
      <c r="D2956" t="s">
        <v>6750</v>
      </c>
      <c r="E2956" t="s">
        <v>23</v>
      </c>
      <c r="F2956" t="s">
        <v>44</v>
      </c>
      <c r="G2956">
        <v>2010</v>
      </c>
      <c r="H2956" t="s">
        <v>2702</v>
      </c>
      <c r="K2956" t="s">
        <v>25</v>
      </c>
      <c r="L2956" t="s">
        <v>30</v>
      </c>
      <c r="M2956" t="b">
        <v>1</v>
      </c>
      <c r="N2956" t="s">
        <v>6751</v>
      </c>
      <c r="Q2956" t="b">
        <v>0</v>
      </c>
      <c r="S2956" t="str">
        <f>"9780310321149"</f>
        <v>9780310321149</v>
      </c>
      <c r="T2956" t="str">
        <f>"9780310321163"</f>
        <v>9780310321163</v>
      </c>
      <c r="U2956" t="b">
        <v>0</v>
      </c>
      <c r="W2956" t="b">
        <v>0</v>
      </c>
    </row>
    <row r="2957" spans="1:23" x14ac:dyDescent="0.3">
      <c r="A2957">
        <v>2137110</v>
      </c>
      <c r="B2957">
        <v>172.47</v>
      </c>
      <c r="C2957" t="s">
        <v>6752</v>
      </c>
      <c r="D2957" t="s">
        <v>6275</v>
      </c>
      <c r="E2957" t="s">
        <v>49</v>
      </c>
      <c r="F2957" t="s">
        <v>106</v>
      </c>
      <c r="G2957">
        <v>2012</v>
      </c>
      <c r="H2957" t="s">
        <v>179</v>
      </c>
      <c r="I2957" t="s">
        <v>6753</v>
      </c>
      <c r="K2957" t="s">
        <v>25</v>
      </c>
      <c r="L2957" t="s">
        <v>26</v>
      </c>
      <c r="M2957" t="b">
        <v>1</v>
      </c>
      <c r="N2957" t="s">
        <v>884</v>
      </c>
      <c r="O2957" t="str">
        <f>"220.601"</f>
        <v>220.601</v>
      </c>
      <c r="Q2957" t="b">
        <v>0</v>
      </c>
      <c r="S2957" t="str">
        <f>"9780310492573"</f>
        <v>9780310492573</v>
      </c>
      <c r="T2957" t="str">
        <f>"9780310492580"</f>
        <v>9780310492580</v>
      </c>
      <c r="U2957" t="b">
        <v>0</v>
      </c>
      <c r="V2957" t="s">
        <v>6754</v>
      </c>
      <c r="W2957" t="b">
        <v>0</v>
      </c>
    </row>
    <row r="2958" spans="1:23" x14ac:dyDescent="0.3">
      <c r="A2958">
        <v>2107160</v>
      </c>
      <c r="B2958">
        <v>63.93</v>
      </c>
      <c r="C2958" t="s">
        <v>6755</v>
      </c>
      <c r="E2958" t="s">
        <v>49</v>
      </c>
      <c r="F2958" t="s">
        <v>106</v>
      </c>
      <c r="G2958">
        <v>2009</v>
      </c>
      <c r="H2958" t="s">
        <v>1181</v>
      </c>
      <c r="I2958" t="s">
        <v>6756</v>
      </c>
      <c r="K2958" t="s">
        <v>25</v>
      </c>
      <c r="L2958" t="s">
        <v>30</v>
      </c>
      <c r="M2958" t="b">
        <v>1</v>
      </c>
      <c r="N2958" t="s">
        <v>6757</v>
      </c>
      <c r="O2958" t="str">
        <f>"223.07"</f>
        <v>223.07</v>
      </c>
      <c r="P2958" t="s">
        <v>6758</v>
      </c>
      <c r="Q2958" t="b">
        <v>0</v>
      </c>
      <c r="T2958" t="str">
        <f>"9780310527664"</f>
        <v>9780310527664</v>
      </c>
      <c r="U2958" t="b">
        <v>0</v>
      </c>
      <c r="W2958" t="b">
        <v>0</v>
      </c>
    </row>
    <row r="2959" spans="1:23" x14ac:dyDescent="0.3">
      <c r="A2959">
        <v>2026492</v>
      </c>
      <c r="B2959">
        <v>58.62</v>
      </c>
      <c r="C2959" t="s">
        <v>6759</v>
      </c>
      <c r="D2959" t="s">
        <v>6760</v>
      </c>
      <c r="E2959" t="s">
        <v>49</v>
      </c>
      <c r="F2959" t="s">
        <v>106</v>
      </c>
      <c r="G2959">
        <v>2010</v>
      </c>
      <c r="H2959" t="s">
        <v>5762</v>
      </c>
      <c r="I2959" t="s">
        <v>6761</v>
      </c>
      <c r="K2959" t="s">
        <v>25</v>
      </c>
      <c r="L2959" t="s">
        <v>30</v>
      </c>
      <c r="M2959" t="b">
        <v>1</v>
      </c>
      <c r="N2959" t="s">
        <v>6762</v>
      </c>
      <c r="O2959" t="str">
        <f>"225.6/1"</f>
        <v>225.6/1</v>
      </c>
      <c r="Q2959" t="b">
        <v>0</v>
      </c>
      <c r="S2959" t="str">
        <f>"9780310291497"</f>
        <v>9780310291497</v>
      </c>
      <c r="T2959" t="str">
        <f>"9780310514893"</f>
        <v>9780310514893</v>
      </c>
      <c r="U2959" t="b">
        <v>0</v>
      </c>
      <c r="W2959" t="b">
        <v>0</v>
      </c>
    </row>
    <row r="2960" spans="1:23" x14ac:dyDescent="0.3">
      <c r="A2960">
        <v>2026491</v>
      </c>
      <c r="B2960">
        <v>58.62</v>
      </c>
      <c r="C2960" t="s">
        <v>6763</v>
      </c>
      <c r="D2960" t="s">
        <v>6760</v>
      </c>
      <c r="E2960" t="s">
        <v>49</v>
      </c>
      <c r="F2960" t="s">
        <v>106</v>
      </c>
      <c r="G2960">
        <v>2012</v>
      </c>
      <c r="H2960" t="s">
        <v>5781</v>
      </c>
      <c r="I2960" t="s">
        <v>6764</v>
      </c>
      <c r="K2960" t="s">
        <v>25</v>
      </c>
      <c r="L2960" t="s">
        <v>30</v>
      </c>
      <c r="M2960" t="b">
        <v>1</v>
      </c>
      <c r="N2960" t="s">
        <v>6765</v>
      </c>
      <c r="O2960" t="str">
        <f>"221.6/1"</f>
        <v>221.6/1</v>
      </c>
      <c r="Q2960" t="b">
        <v>0</v>
      </c>
      <c r="R2960" t="b">
        <v>1</v>
      </c>
      <c r="S2960" t="str">
        <f>"9780310291480"</f>
        <v>9780310291480</v>
      </c>
      <c r="T2960" t="str">
        <f>"9780310491408"</f>
        <v>9780310491408</v>
      </c>
      <c r="U2960" t="b">
        <v>0</v>
      </c>
      <c r="W2960" t="b">
        <v>0</v>
      </c>
    </row>
    <row r="2961" spans="1:23" x14ac:dyDescent="0.3">
      <c r="A2961">
        <v>2026490</v>
      </c>
      <c r="B2961">
        <v>68.97</v>
      </c>
      <c r="C2961" t="s">
        <v>6766</v>
      </c>
      <c r="D2961" t="s">
        <v>6767</v>
      </c>
      <c r="E2961" t="s">
        <v>49</v>
      </c>
      <c r="F2961" t="s">
        <v>44</v>
      </c>
      <c r="G2961">
        <v>2018</v>
      </c>
      <c r="H2961" t="s">
        <v>6768</v>
      </c>
      <c r="I2961" t="s">
        <v>6769</v>
      </c>
      <c r="J2961" t="s">
        <v>6770</v>
      </c>
      <c r="K2961" t="s">
        <v>25</v>
      </c>
      <c r="L2961" t="s">
        <v>26</v>
      </c>
      <c r="M2961" t="b">
        <v>1</v>
      </c>
      <c r="N2961" t="s">
        <v>955</v>
      </c>
      <c r="O2961" t="str">
        <f>"233/.7"</f>
        <v>233/.7</v>
      </c>
      <c r="Q2961" t="b">
        <v>0</v>
      </c>
      <c r="S2961" t="str">
        <f>"9780310589808"</f>
        <v>9780310589808</v>
      </c>
      <c r="T2961" t="str">
        <f>"9780310589815"</f>
        <v>9780310589815</v>
      </c>
      <c r="U2961" t="b">
        <v>0</v>
      </c>
      <c r="W2961" t="b">
        <v>0</v>
      </c>
    </row>
    <row r="2962" spans="1:23" x14ac:dyDescent="0.3">
      <c r="A2962">
        <v>2026417</v>
      </c>
      <c r="B2962">
        <v>58.62</v>
      </c>
      <c r="C2962" t="s">
        <v>6771</v>
      </c>
      <c r="D2962" t="s">
        <v>6772</v>
      </c>
      <c r="E2962" t="s">
        <v>49</v>
      </c>
      <c r="F2962" t="s">
        <v>106</v>
      </c>
      <c r="G2962">
        <v>2018</v>
      </c>
      <c r="H2962" t="s">
        <v>57</v>
      </c>
      <c r="I2962" t="s">
        <v>6324</v>
      </c>
      <c r="J2962" t="s">
        <v>895</v>
      </c>
      <c r="K2962" t="s">
        <v>25</v>
      </c>
      <c r="L2962" t="s">
        <v>26</v>
      </c>
      <c r="M2962" t="b">
        <v>1</v>
      </c>
      <c r="N2962" t="s">
        <v>6325</v>
      </c>
      <c r="O2962" t="str">
        <f>"226/.061"</f>
        <v>226/.061</v>
      </c>
      <c r="Q2962" t="b">
        <v>0</v>
      </c>
      <c r="S2962" t="str">
        <f>"9780310528586"</f>
        <v>9780310528586</v>
      </c>
      <c r="T2962" t="str">
        <f>"9780310528593"</f>
        <v>9780310528593</v>
      </c>
      <c r="U2962" t="b">
        <v>0</v>
      </c>
      <c r="W2962" t="b">
        <v>0</v>
      </c>
    </row>
    <row r="2963" spans="1:23" x14ac:dyDescent="0.3">
      <c r="A2963">
        <v>2026395</v>
      </c>
      <c r="B2963">
        <v>120.72</v>
      </c>
      <c r="C2963" t="s">
        <v>6773</v>
      </c>
      <c r="D2963" t="s">
        <v>6351</v>
      </c>
      <c r="E2963" t="s">
        <v>49</v>
      </c>
      <c r="F2963" t="s">
        <v>106</v>
      </c>
      <c r="G2963">
        <v>2018</v>
      </c>
      <c r="H2963" t="s">
        <v>1032</v>
      </c>
      <c r="I2963" t="s">
        <v>6774</v>
      </c>
      <c r="J2963" t="s">
        <v>6775</v>
      </c>
      <c r="K2963" t="s">
        <v>25</v>
      </c>
      <c r="L2963" t="s">
        <v>26</v>
      </c>
      <c r="M2963" t="b">
        <v>1</v>
      </c>
      <c r="N2963" t="s">
        <v>6354</v>
      </c>
      <c r="O2963" t="str">
        <f>"233"</f>
        <v>233</v>
      </c>
      <c r="Q2963" t="b">
        <v>0</v>
      </c>
      <c r="S2963" t="str">
        <f>"9780310595472"</f>
        <v>9780310595472</v>
      </c>
      <c r="T2963" t="str">
        <f>"9780310595489"</f>
        <v>9780310595489</v>
      </c>
      <c r="U2963" t="b">
        <v>0</v>
      </c>
      <c r="W2963" t="b">
        <v>0</v>
      </c>
    </row>
    <row r="2964" spans="1:23" x14ac:dyDescent="0.3">
      <c r="A2964">
        <v>2026394</v>
      </c>
      <c r="B2964">
        <v>79.319999999999993</v>
      </c>
      <c r="C2964" t="s">
        <v>6741</v>
      </c>
      <c r="D2964" t="s">
        <v>6742</v>
      </c>
      <c r="E2964" t="s">
        <v>49</v>
      </c>
      <c r="F2964" t="s">
        <v>44</v>
      </c>
      <c r="G2964">
        <v>2018</v>
      </c>
      <c r="H2964" t="s">
        <v>912</v>
      </c>
      <c r="I2964" t="s">
        <v>6776</v>
      </c>
      <c r="J2964" t="s">
        <v>6744</v>
      </c>
      <c r="K2964" t="s">
        <v>25</v>
      </c>
      <c r="L2964" t="s">
        <v>26</v>
      </c>
      <c r="M2964" t="b">
        <v>1</v>
      </c>
      <c r="N2964" t="s">
        <v>6745</v>
      </c>
      <c r="O2964" t="str">
        <f>"248.2/46092;B"</f>
        <v>248.2/46092;B</v>
      </c>
      <c r="Q2964" t="b">
        <v>0</v>
      </c>
      <c r="S2964" t="str">
        <f>"9780310092643"</f>
        <v>9780310092643</v>
      </c>
      <c r="T2964" t="str">
        <f>"9780310092650"</f>
        <v>9780310092650</v>
      </c>
      <c r="U2964" t="b">
        <v>0</v>
      </c>
      <c r="V2964" t="s">
        <v>6777</v>
      </c>
      <c r="W2964" t="b">
        <v>0</v>
      </c>
    </row>
    <row r="2965" spans="1:23" x14ac:dyDescent="0.3">
      <c r="A2965">
        <v>2026393</v>
      </c>
      <c r="B2965">
        <v>51.72</v>
      </c>
      <c r="C2965" t="s">
        <v>6778</v>
      </c>
      <c r="D2965" t="s">
        <v>6779</v>
      </c>
      <c r="E2965" t="s">
        <v>49</v>
      </c>
      <c r="F2965" t="s">
        <v>44</v>
      </c>
      <c r="G2965">
        <v>2018</v>
      </c>
      <c r="H2965" t="s">
        <v>70</v>
      </c>
      <c r="I2965" t="s">
        <v>6780</v>
      </c>
      <c r="J2965" t="s">
        <v>6781</v>
      </c>
      <c r="K2965" t="s">
        <v>25</v>
      </c>
      <c r="L2965" t="s">
        <v>26</v>
      </c>
      <c r="M2965" t="b">
        <v>1</v>
      </c>
      <c r="N2965" t="s">
        <v>6782</v>
      </c>
      <c r="O2965" t="str">
        <f>"261"</f>
        <v>261</v>
      </c>
      <c r="Q2965" t="b">
        <v>0</v>
      </c>
      <c r="S2965" t="str">
        <f>"9780310562047"</f>
        <v>9780310562047</v>
      </c>
      <c r="T2965" t="str">
        <f>"9780310092636"</f>
        <v>9780310092636</v>
      </c>
      <c r="U2965" t="b">
        <v>0</v>
      </c>
      <c r="W2965" t="b">
        <v>0</v>
      </c>
    </row>
    <row r="2966" spans="1:23" x14ac:dyDescent="0.3">
      <c r="A2966">
        <v>2026392</v>
      </c>
      <c r="B2966">
        <v>58.62</v>
      </c>
      <c r="C2966" t="s">
        <v>6783</v>
      </c>
      <c r="D2966" t="s">
        <v>6784</v>
      </c>
      <c r="E2966" t="s">
        <v>49</v>
      </c>
      <c r="F2966" t="s">
        <v>44</v>
      </c>
      <c r="G2966">
        <v>2018</v>
      </c>
      <c r="H2966" t="s">
        <v>756</v>
      </c>
      <c r="K2966" t="s">
        <v>25</v>
      </c>
      <c r="L2966" t="s">
        <v>26</v>
      </c>
      <c r="M2966" t="b">
        <v>1</v>
      </c>
      <c r="N2966" t="s">
        <v>4647</v>
      </c>
      <c r="Q2966" t="b">
        <v>0</v>
      </c>
      <c r="S2966" t="str">
        <f>"9780310566106"</f>
        <v>9780310566106</v>
      </c>
      <c r="T2966" t="str">
        <f>"9780310566113"</f>
        <v>9780310566113</v>
      </c>
      <c r="U2966" t="b">
        <v>0</v>
      </c>
      <c r="W2966" t="b">
        <v>0</v>
      </c>
    </row>
    <row r="2967" spans="1:23" x14ac:dyDescent="0.3">
      <c r="A2967">
        <v>2026387</v>
      </c>
      <c r="B2967">
        <v>58.62</v>
      </c>
      <c r="C2967" t="s">
        <v>6785</v>
      </c>
      <c r="D2967" t="s">
        <v>6786</v>
      </c>
      <c r="E2967" t="s">
        <v>49</v>
      </c>
      <c r="F2967" t="s">
        <v>44</v>
      </c>
      <c r="G2967">
        <v>2018</v>
      </c>
      <c r="H2967" t="s">
        <v>756</v>
      </c>
      <c r="I2967" t="s">
        <v>6787</v>
      </c>
      <c r="J2967" t="s">
        <v>6788</v>
      </c>
      <c r="K2967" t="s">
        <v>25</v>
      </c>
      <c r="L2967" t="s">
        <v>26</v>
      </c>
      <c r="M2967" t="b">
        <v>1</v>
      </c>
      <c r="N2967" t="s">
        <v>4647</v>
      </c>
      <c r="O2967" t="str">
        <f>"266"</f>
        <v>266</v>
      </c>
      <c r="Q2967" t="b">
        <v>0</v>
      </c>
      <c r="S2967" t="str">
        <f>"9780310566076"</f>
        <v>9780310566076</v>
      </c>
      <c r="T2967" t="str">
        <f>"9780310566083"</f>
        <v>9780310566083</v>
      </c>
      <c r="U2967" t="b">
        <v>0</v>
      </c>
      <c r="W2967" t="b">
        <v>0</v>
      </c>
    </row>
    <row r="2968" spans="1:23" x14ac:dyDescent="0.3">
      <c r="A2968">
        <v>2026386</v>
      </c>
      <c r="B2968">
        <v>155.22</v>
      </c>
      <c r="C2968" t="s">
        <v>6789</v>
      </c>
      <c r="E2968" t="s">
        <v>49</v>
      </c>
      <c r="F2968" t="s">
        <v>106</v>
      </c>
      <c r="G2968">
        <v>2018</v>
      </c>
      <c r="H2968" t="s">
        <v>5767</v>
      </c>
      <c r="I2968" t="s">
        <v>6790</v>
      </c>
      <c r="K2968" t="s">
        <v>25</v>
      </c>
      <c r="L2968" t="s">
        <v>26</v>
      </c>
      <c r="M2968" t="b">
        <v>1</v>
      </c>
      <c r="N2968" t="s">
        <v>6791</v>
      </c>
      <c r="O2968" t="str">
        <f>"222/.4077"</f>
        <v>222/.4077</v>
      </c>
      <c r="P2968" t="s">
        <v>930</v>
      </c>
      <c r="Q2968" t="b">
        <v>0</v>
      </c>
      <c r="S2968" t="str">
        <f>"9780310490937"</f>
        <v>9780310490937</v>
      </c>
      <c r="T2968" t="str">
        <f>"9780310490944"</f>
        <v>9780310490944</v>
      </c>
      <c r="U2968" t="b">
        <v>0</v>
      </c>
      <c r="W2968" t="b">
        <v>0</v>
      </c>
    </row>
    <row r="2969" spans="1:23" x14ac:dyDescent="0.3">
      <c r="A2969">
        <v>2026385</v>
      </c>
      <c r="B2969">
        <v>86.22</v>
      </c>
      <c r="C2969" t="s">
        <v>6792</v>
      </c>
      <c r="D2969" t="s">
        <v>6793</v>
      </c>
      <c r="E2969" t="s">
        <v>49</v>
      </c>
      <c r="F2969" t="s">
        <v>106</v>
      </c>
      <c r="G2969">
        <v>2018</v>
      </c>
      <c r="H2969" t="s">
        <v>57</v>
      </c>
      <c r="I2969" t="s">
        <v>6794</v>
      </c>
      <c r="J2969" t="s">
        <v>6795</v>
      </c>
      <c r="K2969" t="s">
        <v>25</v>
      </c>
      <c r="L2969" t="s">
        <v>26</v>
      </c>
      <c r="M2969" t="b">
        <v>1</v>
      </c>
      <c r="N2969" t="s">
        <v>6597</v>
      </c>
      <c r="O2969" t="str">
        <f>"226.3/067"</f>
        <v>226.3/067</v>
      </c>
      <c r="Q2969" t="b">
        <v>0</v>
      </c>
      <c r="S2969" t="str">
        <f>"9780310534457"</f>
        <v>9780310534457</v>
      </c>
      <c r="T2969" t="str">
        <f>"9780310534464"</f>
        <v>9780310534464</v>
      </c>
      <c r="U2969" t="b">
        <v>0</v>
      </c>
      <c r="W2969" t="b">
        <v>0</v>
      </c>
    </row>
    <row r="2970" spans="1:23" x14ac:dyDescent="0.3">
      <c r="A2970">
        <v>2026384</v>
      </c>
      <c r="B2970">
        <v>68.97</v>
      </c>
      <c r="C2970" t="s">
        <v>6796</v>
      </c>
      <c r="D2970" t="s">
        <v>6797</v>
      </c>
      <c r="E2970" t="s">
        <v>49</v>
      </c>
      <c r="F2970" t="s">
        <v>44</v>
      </c>
      <c r="G2970">
        <v>2018</v>
      </c>
      <c r="H2970" t="s">
        <v>179</v>
      </c>
      <c r="I2970" t="s">
        <v>4576</v>
      </c>
      <c r="K2970" t="s">
        <v>25</v>
      </c>
      <c r="L2970" t="s">
        <v>26</v>
      </c>
      <c r="M2970" t="b">
        <v>1</v>
      </c>
      <c r="N2970" t="s">
        <v>851</v>
      </c>
      <c r="O2970" t="str">
        <f>"220.601"</f>
        <v>220.601</v>
      </c>
      <c r="Q2970" t="b">
        <v>0</v>
      </c>
      <c r="S2970" t="str">
        <f>"9780310538929"</f>
        <v>9780310538929</v>
      </c>
      <c r="T2970" t="str">
        <f>"9780310538936"</f>
        <v>9780310538936</v>
      </c>
      <c r="U2970" t="b">
        <v>0</v>
      </c>
      <c r="V2970" t="s">
        <v>870</v>
      </c>
      <c r="W2970" t="b">
        <v>0</v>
      </c>
    </row>
    <row r="2971" spans="1:23" x14ac:dyDescent="0.3">
      <c r="A2971">
        <v>2026383</v>
      </c>
      <c r="B2971">
        <v>172.47</v>
      </c>
      <c r="C2971" t="s">
        <v>6798</v>
      </c>
      <c r="E2971" t="s">
        <v>49</v>
      </c>
      <c r="F2971" t="s">
        <v>106</v>
      </c>
      <c r="G2971">
        <v>2018</v>
      </c>
      <c r="H2971" t="s">
        <v>6799</v>
      </c>
      <c r="I2971" t="s">
        <v>6800</v>
      </c>
      <c r="K2971" t="s">
        <v>25</v>
      </c>
      <c r="L2971" t="s">
        <v>26</v>
      </c>
      <c r="M2971" t="b">
        <v>1</v>
      </c>
      <c r="N2971" t="s">
        <v>6801</v>
      </c>
      <c r="O2971" t="str">
        <f>"226.407"</f>
        <v>226.407</v>
      </c>
      <c r="P2971" t="s">
        <v>6546</v>
      </c>
      <c r="Q2971" t="b">
        <v>0</v>
      </c>
      <c r="S2971" t="str">
        <f>"9780310521952"</f>
        <v>9780310521952</v>
      </c>
      <c r="T2971" t="str">
        <f>"9780310588504"</f>
        <v>9780310588504</v>
      </c>
      <c r="U2971" t="b">
        <v>0</v>
      </c>
      <c r="W2971" t="b">
        <v>0</v>
      </c>
    </row>
    <row r="2972" spans="1:23" x14ac:dyDescent="0.3">
      <c r="A2972">
        <v>2026382</v>
      </c>
      <c r="B2972">
        <v>170.53</v>
      </c>
      <c r="C2972" t="s">
        <v>3420</v>
      </c>
      <c r="E2972" t="s">
        <v>49</v>
      </c>
      <c r="F2972" t="s">
        <v>106</v>
      </c>
      <c r="G2972">
        <v>2018</v>
      </c>
      <c r="H2972" t="s">
        <v>101</v>
      </c>
      <c r="I2972" t="s">
        <v>6802</v>
      </c>
      <c r="K2972" t="s">
        <v>25</v>
      </c>
      <c r="L2972" t="s">
        <v>26</v>
      </c>
      <c r="M2972" t="b">
        <v>1</v>
      </c>
      <c r="N2972" t="s">
        <v>6803</v>
      </c>
      <c r="O2972" t="str">
        <f>"225.6"</f>
        <v>225.6</v>
      </c>
      <c r="P2972" t="s">
        <v>6373</v>
      </c>
      <c r="Q2972" t="b">
        <v>0</v>
      </c>
      <c r="T2972" t="str">
        <f>"9780310555544"</f>
        <v>9780310555544</v>
      </c>
      <c r="U2972" t="b">
        <v>0</v>
      </c>
      <c r="W2972" t="b">
        <v>0</v>
      </c>
    </row>
    <row r="2973" spans="1:23" x14ac:dyDescent="0.3">
      <c r="A2973">
        <v>2026381</v>
      </c>
      <c r="B2973">
        <v>224.22</v>
      </c>
      <c r="C2973" t="s">
        <v>6804</v>
      </c>
      <c r="E2973" t="s">
        <v>49</v>
      </c>
      <c r="F2973" t="s">
        <v>106</v>
      </c>
      <c r="G2973">
        <v>2018</v>
      </c>
      <c r="H2973" t="s">
        <v>3422</v>
      </c>
      <c r="I2973" t="s">
        <v>6805</v>
      </c>
      <c r="K2973" t="s">
        <v>25</v>
      </c>
      <c r="L2973" t="s">
        <v>26</v>
      </c>
      <c r="M2973" t="b">
        <v>1</v>
      </c>
      <c r="N2973" t="s">
        <v>6806</v>
      </c>
      <c r="O2973" t="str">
        <f>"223/.2077"</f>
        <v>223/.2077</v>
      </c>
      <c r="P2973" t="s">
        <v>6245</v>
      </c>
      <c r="Q2973" t="b">
        <v>0</v>
      </c>
      <c r="S2973" t="str">
        <f>"9780310206705"</f>
        <v>9780310206705</v>
      </c>
      <c r="T2973" t="str">
        <f>"9780310528555"</f>
        <v>9780310528555</v>
      </c>
      <c r="U2973" t="b">
        <v>0</v>
      </c>
      <c r="W2973" t="b">
        <v>0</v>
      </c>
    </row>
    <row r="2974" spans="1:23" x14ac:dyDescent="0.3">
      <c r="A2974">
        <v>2026380</v>
      </c>
      <c r="B2974">
        <v>172.47</v>
      </c>
      <c r="C2974" t="s">
        <v>88</v>
      </c>
      <c r="E2974" t="s">
        <v>49</v>
      </c>
      <c r="F2974" t="s">
        <v>106</v>
      </c>
      <c r="G2974">
        <v>2018</v>
      </c>
      <c r="H2974" t="s">
        <v>98</v>
      </c>
      <c r="I2974" t="s">
        <v>6375</v>
      </c>
      <c r="K2974" t="s">
        <v>25</v>
      </c>
      <c r="L2974" t="s">
        <v>26</v>
      </c>
      <c r="M2974" t="b">
        <v>1</v>
      </c>
      <c r="N2974" t="s">
        <v>6807</v>
      </c>
      <c r="O2974" t="str">
        <f>"227/.207"</f>
        <v>227/.207</v>
      </c>
      <c r="P2974" t="s">
        <v>6808</v>
      </c>
      <c r="Q2974" t="b">
        <v>0</v>
      </c>
      <c r="S2974" t="str">
        <f>"9780310243694"</f>
        <v>9780310243694</v>
      </c>
      <c r="T2974" t="str">
        <f>"9780310557012"</f>
        <v>9780310557012</v>
      </c>
      <c r="U2974" t="b">
        <v>0</v>
      </c>
      <c r="W2974" t="b">
        <v>0</v>
      </c>
    </row>
    <row r="2975" spans="1:23" x14ac:dyDescent="0.3">
      <c r="A2975">
        <v>2026379</v>
      </c>
      <c r="B2975">
        <v>213.17</v>
      </c>
      <c r="C2975" t="s">
        <v>6809</v>
      </c>
      <c r="D2975" t="s">
        <v>6810</v>
      </c>
      <c r="E2975" t="s">
        <v>49</v>
      </c>
      <c r="F2975" t="s">
        <v>106</v>
      </c>
      <c r="G2975">
        <v>2017</v>
      </c>
      <c r="H2975" t="s">
        <v>6799</v>
      </c>
      <c r="K2975" t="s">
        <v>25</v>
      </c>
      <c r="L2975" t="s">
        <v>30</v>
      </c>
      <c r="M2975" t="b">
        <v>1</v>
      </c>
      <c r="N2975" t="s">
        <v>6811</v>
      </c>
      <c r="Q2975" t="b">
        <v>0</v>
      </c>
      <c r="T2975" t="str">
        <f>"9780310536239"</f>
        <v>9780310536239</v>
      </c>
      <c r="U2975" t="b">
        <v>0</v>
      </c>
      <c r="W2975" t="b">
        <v>0</v>
      </c>
    </row>
    <row r="2976" spans="1:23" x14ac:dyDescent="0.3">
      <c r="A2976">
        <v>2026378</v>
      </c>
      <c r="B2976">
        <v>172.47</v>
      </c>
      <c r="C2976" t="s">
        <v>6812</v>
      </c>
      <c r="D2976" t="s">
        <v>6813</v>
      </c>
      <c r="E2976" t="s">
        <v>49</v>
      </c>
      <c r="F2976" t="s">
        <v>106</v>
      </c>
      <c r="G2976">
        <v>2017</v>
      </c>
      <c r="H2976" t="s">
        <v>179</v>
      </c>
      <c r="I2976" t="s">
        <v>6814</v>
      </c>
      <c r="K2976" t="s">
        <v>25</v>
      </c>
      <c r="L2976" t="s">
        <v>26</v>
      </c>
      <c r="M2976" t="b">
        <v>1</v>
      </c>
      <c r="N2976" t="s">
        <v>6815</v>
      </c>
      <c r="O2976" t="str">
        <f>"220.601"</f>
        <v>220.601</v>
      </c>
      <c r="Q2976" t="b">
        <v>0</v>
      </c>
      <c r="S2976" t="str">
        <f>"9780310524175"</f>
        <v>9780310524175</v>
      </c>
      <c r="T2976" t="str">
        <f>"9780310524182"</f>
        <v>9780310524182</v>
      </c>
      <c r="U2976" t="b">
        <v>0</v>
      </c>
      <c r="W2976" t="b">
        <v>0</v>
      </c>
    </row>
    <row r="2977" spans="1:23" x14ac:dyDescent="0.3">
      <c r="A2977">
        <v>2026376</v>
      </c>
      <c r="B2977">
        <v>172.47</v>
      </c>
      <c r="C2977" t="s">
        <v>6816</v>
      </c>
      <c r="E2977" t="s">
        <v>49</v>
      </c>
      <c r="F2977" t="s">
        <v>106</v>
      </c>
      <c r="G2977">
        <v>1993</v>
      </c>
      <c r="H2977" t="s">
        <v>6799</v>
      </c>
      <c r="I2977" t="s">
        <v>6817</v>
      </c>
      <c r="K2977" t="s">
        <v>25</v>
      </c>
      <c r="L2977" t="s">
        <v>26</v>
      </c>
      <c r="M2977" t="b">
        <v>1</v>
      </c>
      <c r="N2977" t="s">
        <v>6801</v>
      </c>
      <c r="O2977" t="str">
        <f>"220.77"</f>
        <v>220.77</v>
      </c>
      <c r="P2977" t="s">
        <v>5759</v>
      </c>
      <c r="Q2977" t="b">
        <v>0</v>
      </c>
      <c r="S2977" t="str">
        <f>"9780310522232"</f>
        <v>9780310522232</v>
      </c>
      <c r="T2977" t="str">
        <f>"9780310588566"</f>
        <v>9780310588566</v>
      </c>
      <c r="U2977" t="b">
        <v>0</v>
      </c>
      <c r="W2977" t="b">
        <v>0</v>
      </c>
    </row>
    <row r="2978" spans="1:23" x14ac:dyDescent="0.3">
      <c r="A2978">
        <v>2026375</v>
      </c>
      <c r="B2978">
        <v>155.22</v>
      </c>
      <c r="C2978" t="s">
        <v>6818</v>
      </c>
      <c r="E2978" t="s">
        <v>49</v>
      </c>
      <c r="F2978" t="s">
        <v>106</v>
      </c>
      <c r="G2978">
        <v>2018</v>
      </c>
      <c r="H2978" t="s">
        <v>927</v>
      </c>
      <c r="I2978" t="s">
        <v>6819</v>
      </c>
      <c r="K2978" t="s">
        <v>25</v>
      </c>
      <c r="L2978" t="s">
        <v>26</v>
      </c>
      <c r="M2978" t="b">
        <v>1</v>
      </c>
      <c r="N2978" t="s">
        <v>6820</v>
      </c>
      <c r="O2978" t="str">
        <f>"222.6077"</f>
        <v>222.6077</v>
      </c>
      <c r="P2978" t="s">
        <v>6546</v>
      </c>
      <c r="Q2978" t="b">
        <v>0</v>
      </c>
      <c r="S2978" t="str">
        <f>"9780310522034"</f>
        <v>9780310522034</v>
      </c>
      <c r="T2978" t="str">
        <f>"9780310588498"</f>
        <v>9780310588498</v>
      </c>
      <c r="U2978" t="b">
        <v>0</v>
      </c>
      <c r="W2978" t="b">
        <v>0</v>
      </c>
    </row>
    <row r="2979" spans="1:23" x14ac:dyDescent="0.3">
      <c r="A2979">
        <v>2026374</v>
      </c>
      <c r="B2979">
        <v>75.87</v>
      </c>
      <c r="C2979" t="s">
        <v>6821</v>
      </c>
      <c r="E2979" t="s">
        <v>49</v>
      </c>
      <c r="F2979" t="s">
        <v>106</v>
      </c>
      <c r="G2979">
        <v>2019</v>
      </c>
      <c r="H2979" t="s">
        <v>6334</v>
      </c>
      <c r="I2979" t="s">
        <v>6822</v>
      </c>
      <c r="K2979" t="s">
        <v>25</v>
      </c>
      <c r="L2979" t="s">
        <v>26</v>
      </c>
      <c r="M2979" t="b">
        <v>1</v>
      </c>
      <c r="N2979" t="s">
        <v>6560</v>
      </c>
      <c r="O2979" t="str">
        <f>"221/.02/02"</f>
        <v>221/.02/02</v>
      </c>
      <c r="P2979" t="s">
        <v>6823</v>
      </c>
      <c r="Q2979" t="b">
        <v>0</v>
      </c>
      <c r="S2979" t="str">
        <f>"9780310481614"</f>
        <v>9780310481614</v>
      </c>
      <c r="T2979" t="str">
        <f>"9780310523192"</f>
        <v>9780310523192</v>
      </c>
      <c r="U2979" t="b">
        <v>0</v>
      </c>
      <c r="V2979" t="s">
        <v>6824</v>
      </c>
      <c r="W2979" t="b">
        <v>0</v>
      </c>
    </row>
    <row r="2980" spans="1:23" x14ac:dyDescent="0.3">
      <c r="A2980">
        <v>2026373</v>
      </c>
      <c r="B2980">
        <v>86.22</v>
      </c>
      <c r="C2980" t="s">
        <v>6825</v>
      </c>
      <c r="D2980" t="s">
        <v>6349</v>
      </c>
      <c r="E2980" t="s">
        <v>49</v>
      </c>
      <c r="F2980" t="s">
        <v>106</v>
      </c>
      <c r="G2980">
        <v>2014</v>
      </c>
      <c r="H2980" t="s">
        <v>179</v>
      </c>
      <c r="I2980" t="s">
        <v>6826</v>
      </c>
      <c r="K2980" t="s">
        <v>25</v>
      </c>
      <c r="L2980" t="s">
        <v>26</v>
      </c>
      <c r="M2980" t="b">
        <v>1</v>
      </c>
      <c r="N2980" t="s">
        <v>6827</v>
      </c>
      <c r="O2980" t="str">
        <f>"220.6/1"</f>
        <v>220.6/1</v>
      </c>
      <c r="Q2980" t="b">
        <v>0</v>
      </c>
      <c r="S2980" t="str">
        <f>"9780310517825"</f>
        <v>9780310517825</v>
      </c>
      <c r="T2980" t="str">
        <f>"9780310517832"</f>
        <v>9780310517832</v>
      </c>
      <c r="U2980" t="b">
        <v>0</v>
      </c>
      <c r="V2980" t="s">
        <v>6277</v>
      </c>
      <c r="W2980" t="b">
        <v>0</v>
      </c>
    </row>
    <row r="2981" spans="1:23" x14ac:dyDescent="0.3">
      <c r="A2981">
        <v>2026372</v>
      </c>
      <c r="B2981">
        <v>206.97</v>
      </c>
      <c r="C2981" t="s">
        <v>6828</v>
      </c>
      <c r="D2981" t="s">
        <v>6829</v>
      </c>
      <c r="E2981" t="s">
        <v>49</v>
      </c>
      <c r="F2981" t="s">
        <v>106</v>
      </c>
      <c r="G2981">
        <v>2012</v>
      </c>
      <c r="H2981" t="s">
        <v>1143</v>
      </c>
      <c r="I2981" t="s">
        <v>6255</v>
      </c>
      <c r="K2981" t="s">
        <v>25</v>
      </c>
      <c r="L2981" t="s">
        <v>26</v>
      </c>
      <c r="M2981" t="b">
        <v>1</v>
      </c>
      <c r="N2981" t="s">
        <v>6535</v>
      </c>
      <c r="O2981" t="str">
        <f>"225.6/1"</f>
        <v>225.6/1</v>
      </c>
      <c r="Q2981" t="b">
        <v>0</v>
      </c>
      <c r="S2981" t="str">
        <f>"9780310494744"</f>
        <v>9780310494744</v>
      </c>
      <c r="T2981" t="str">
        <f>"9780310494768"</f>
        <v>9780310494768</v>
      </c>
      <c r="U2981" t="b">
        <v>0</v>
      </c>
      <c r="V2981" t="s">
        <v>6526</v>
      </c>
      <c r="W2981" t="b">
        <v>0</v>
      </c>
    </row>
    <row r="2982" spans="1:23" x14ac:dyDescent="0.3">
      <c r="A2982">
        <v>2026371</v>
      </c>
      <c r="B2982">
        <v>172.47</v>
      </c>
      <c r="C2982" t="s">
        <v>6830</v>
      </c>
      <c r="D2982" t="s">
        <v>6275</v>
      </c>
      <c r="E2982" t="s">
        <v>49</v>
      </c>
      <c r="F2982" t="s">
        <v>106</v>
      </c>
      <c r="G2982">
        <v>2012</v>
      </c>
      <c r="H2982" t="s">
        <v>179</v>
      </c>
      <c r="I2982" t="s">
        <v>4576</v>
      </c>
      <c r="K2982" t="s">
        <v>25</v>
      </c>
      <c r="L2982" t="s">
        <v>30</v>
      </c>
      <c r="M2982" t="b">
        <v>1</v>
      </c>
      <c r="N2982" t="s">
        <v>884</v>
      </c>
      <c r="O2982" t="str">
        <f>"220.601"</f>
        <v>220.601</v>
      </c>
      <c r="Q2982" t="b">
        <v>0</v>
      </c>
      <c r="S2982" t="str">
        <f>"9780310492597"</f>
        <v>9780310492597</v>
      </c>
      <c r="T2982" t="str">
        <f>"9780310521457"</f>
        <v>9780310521457</v>
      </c>
      <c r="U2982" t="b">
        <v>0</v>
      </c>
      <c r="V2982" t="s">
        <v>6831</v>
      </c>
      <c r="W2982" t="b">
        <v>0</v>
      </c>
    </row>
    <row r="2983" spans="1:23" x14ac:dyDescent="0.3">
      <c r="A2983">
        <v>2026369</v>
      </c>
      <c r="B2983">
        <v>172.47</v>
      </c>
      <c r="C2983" t="s">
        <v>6832</v>
      </c>
      <c r="D2983" t="s">
        <v>6833</v>
      </c>
      <c r="E2983" t="s">
        <v>49</v>
      </c>
      <c r="F2983" t="s">
        <v>106</v>
      </c>
      <c r="G2983">
        <v>2011</v>
      </c>
      <c r="H2983" t="s">
        <v>6490</v>
      </c>
      <c r="I2983" t="s">
        <v>6834</v>
      </c>
      <c r="K2983" t="s">
        <v>25</v>
      </c>
      <c r="L2983" t="s">
        <v>30</v>
      </c>
      <c r="M2983" t="b">
        <v>1</v>
      </c>
      <c r="N2983" t="s">
        <v>6803</v>
      </c>
      <c r="O2983" t="str">
        <f>"230/.0415"</f>
        <v>230/.0415</v>
      </c>
      <c r="Q2983" t="b">
        <v>0</v>
      </c>
      <c r="S2983" t="str">
        <f>"9780310211327"</f>
        <v>9780310211327</v>
      </c>
      <c r="T2983" t="str">
        <f>"9780310864332"</f>
        <v>9780310864332</v>
      </c>
      <c r="U2983" t="b">
        <v>0</v>
      </c>
      <c r="W2983" t="b">
        <v>0</v>
      </c>
    </row>
    <row r="2984" spans="1:23" x14ac:dyDescent="0.3">
      <c r="A2984">
        <v>2026368</v>
      </c>
      <c r="B2984">
        <v>206.97</v>
      </c>
      <c r="C2984" t="s">
        <v>6835</v>
      </c>
      <c r="D2984" t="s">
        <v>6836</v>
      </c>
      <c r="E2984" t="s">
        <v>49</v>
      </c>
      <c r="F2984" t="s">
        <v>106</v>
      </c>
      <c r="G2984">
        <v>2007</v>
      </c>
      <c r="H2984" t="s">
        <v>3417</v>
      </c>
      <c r="I2984" t="s">
        <v>6837</v>
      </c>
      <c r="K2984" t="s">
        <v>25</v>
      </c>
      <c r="L2984" t="s">
        <v>30</v>
      </c>
      <c r="M2984" t="b">
        <v>1</v>
      </c>
      <c r="N2984" t="s">
        <v>6838</v>
      </c>
      <c r="O2984" t="str">
        <f>"230/.0411"</f>
        <v>230/.0411</v>
      </c>
      <c r="Q2984" t="b">
        <v>0</v>
      </c>
      <c r="S2984" t="str">
        <f>"9780310218975"</f>
        <v>9780310218975</v>
      </c>
      <c r="T2984" t="str">
        <f>"9780310863328"</f>
        <v>9780310863328</v>
      </c>
      <c r="U2984" t="b">
        <v>0</v>
      </c>
      <c r="V2984" t="s">
        <v>2341</v>
      </c>
      <c r="W2984" t="b">
        <v>0</v>
      </c>
    </row>
    <row r="2985" spans="1:23" x14ac:dyDescent="0.3">
      <c r="A2985">
        <v>2026367</v>
      </c>
      <c r="B2985">
        <v>79.319999999999993</v>
      </c>
      <c r="C2985" t="s">
        <v>6839</v>
      </c>
      <c r="E2985" t="s">
        <v>49</v>
      </c>
      <c r="F2985" t="s">
        <v>106</v>
      </c>
      <c r="G2985">
        <v>2009</v>
      </c>
      <c r="H2985" t="s">
        <v>3423</v>
      </c>
      <c r="I2985" t="s">
        <v>6840</v>
      </c>
      <c r="K2985" t="s">
        <v>25</v>
      </c>
      <c r="L2985" t="s">
        <v>26</v>
      </c>
      <c r="M2985" t="b">
        <v>1</v>
      </c>
      <c r="N2985" t="s">
        <v>6841</v>
      </c>
      <c r="O2985" t="str">
        <f>"221.6/1"</f>
        <v>221.6/1</v>
      </c>
      <c r="Q2985" t="b">
        <v>0</v>
      </c>
      <c r="S2985" t="str">
        <f>"9780310556961"</f>
        <v>9780310556961</v>
      </c>
      <c r="T2985" t="str">
        <f>"9780310556978"</f>
        <v>9780310556978</v>
      </c>
      <c r="U2985" t="b">
        <v>0</v>
      </c>
      <c r="V2985" t="s">
        <v>6501</v>
      </c>
      <c r="W2985" t="b">
        <v>0</v>
      </c>
    </row>
    <row r="2986" spans="1:23" x14ac:dyDescent="0.3">
      <c r="A2986">
        <v>2026355</v>
      </c>
      <c r="B2986">
        <v>68.97</v>
      </c>
      <c r="C2986" t="s">
        <v>6842</v>
      </c>
      <c r="E2986" t="s">
        <v>49</v>
      </c>
      <c r="F2986" t="s">
        <v>106</v>
      </c>
      <c r="G2986">
        <v>2019</v>
      </c>
      <c r="H2986" t="s">
        <v>115</v>
      </c>
      <c r="I2986" t="s">
        <v>6843</v>
      </c>
      <c r="J2986" t="s">
        <v>6844</v>
      </c>
      <c r="K2986" t="s">
        <v>25</v>
      </c>
      <c r="L2986" t="s">
        <v>26</v>
      </c>
      <c r="M2986" t="b">
        <v>1</v>
      </c>
      <c r="N2986" t="s">
        <v>6845</v>
      </c>
      <c r="O2986" t="str">
        <f>"230/.02/02"</f>
        <v>230/.02/02</v>
      </c>
      <c r="P2986" t="s">
        <v>6823</v>
      </c>
      <c r="Q2986" t="b">
        <v>0</v>
      </c>
      <c r="S2986" t="str">
        <f>"9780310416616"</f>
        <v>9780310416616</v>
      </c>
      <c r="T2986" t="str">
        <f>"9780310100331"</f>
        <v>9780310100331</v>
      </c>
      <c r="U2986" t="b">
        <v>0</v>
      </c>
      <c r="W2986" t="b">
        <v>0</v>
      </c>
    </row>
    <row r="2987" spans="1:23" x14ac:dyDescent="0.3">
      <c r="A2987">
        <v>2026354</v>
      </c>
      <c r="B2987">
        <v>172.47</v>
      </c>
      <c r="C2987" t="s">
        <v>6846</v>
      </c>
      <c r="D2987" t="s">
        <v>6847</v>
      </c>
      <c r="E2987" t="s">
        <v>49</v>
      </c>
      <c r="F2987" t="s">
        <v>106</v>
      </c>
      <c r="G2987">
        <v>2018</v>
      </c>
      <c r="H2987" t="s">
        <v>3423</v>
      </c>
      <c r="I2987" t="s">
        <v>6848</v>
      </c>
      <c r="K2987" t="s">
        <v>25</v>
      </c>
      <c r="L2987" t="s">
        <v>26</v>
      </c>
      <c r="M2987" t="b">
        <v>1</v>
      </c>
      <c r="N2987" t="s">
        <v>6849</v>
      </c>
      <c r="O2987" t="str">
        <f>"221.601"</f>
        <v>221.601</v>
      </c>
      <c r="Q2987" t="b">
        <v>0</v>
      </c>
      <c r="S2987" t="str">
        <f>"9780310535058"</f>
        <v>9780310535058</v>
      </c>
      <c r="T2987" t="str">
        <f>"9780310535065"</f>
        <v>9780310535065</v>
      </c>
      <c r="U2987" t="b">
        <v>0</v>
      </c>
      <c r="W2987" t="b">
        <v>0</v>
      </c>
    </row>
    <row r="2988" spans="1:23" x14ac:dyDescent="0.3">
      <c r="A2988">
        <v>2026353</v>
      </c>
      <c r="B2988">
        <v>79.319999999999993</v>
      </c>
      <c r="C2988" t="s">
        <v>6850</v>
      </c>
      <c r="D2988" t="s">
        <v>854</v>
      </c>
      <c r="E2988" t="s">
        <v>49</v>
      </c>
      <c r="F2988" t="s">
        <v>44</v>
      </c>
      <c r="G2988">
        <v>2018</v>
      </c>
      <c r="H2988" t="s">
        <v>732</v>
      </c>
      <c r="K2988" t="s">
        <v>25</v>
      </c>
      <c r="L2988" t="s">
        <v>26</v>
      </c>
      <c r="M2988" t="b">
        <v>1</v>
      </c>
      <c r="N2988" t="s">
        <v>855</v>
      </c>
      <c r="Q2988" t="b">
        <v>0</v>
      </c>
      <c r="S2988" t="str">
        <f>"9780310536642"</f>
        <v>9780310536642</v>
      </c>
      <c r="T2988" t="str">
        <f>"9780310099628"</f>
        <v>9780310099628</v>
      </c>
      <c r="U2988" t="b">
        <v>0</v>
      </c>
      <c r="W2988" t="b">
        <v>0</v>
      </c>
    </row>
    <row r="2989" spans="1:23" x14ac:dyDescent="0.3">
      <c r="A2989">
        <v>2026352</v>
      </c>
      <c r="B2989">
        <v>275.97000000000003</v>
      </c>
      <c r="C2989" t="s">
        <v>6851</v>
      </c>
      <c r="D2989" t="s">
        <v>6852</v>
      </c>
      <c r="E2989" t="s">
        <v>49</v>
      </c>
      <c r="F2989" t="s">
        <v>106</v>
      </c>
      <c r="G2989">
        <v>2018</v>
      </c>
      <c r="H2989" t="s">
        <v>1181</v>
      </c>
      <c r="I2989" t="s">
        <v>6853</v>
      </c>
      <c r="J2989" t="s">
        <v>895</v>
      </c>
      <c r="K2989" t="s">
        <v>25</v>
      </c>
      <c r="L2989" t="s">
        <v>30</v>
      </c>
      <c r="M2989" t="b">
        <v>1</v>
      </c>
      <c r="N2989" t="s">
        <v>6854</v>
      </c>
      <c r="O2989" t="str">
        <f>"251.009"</f>
        <v>251.009</v>
      </c>
      <c r="Q2989" t="b">
        <v>0</v>
      </c>
      <c r="S2989" t="str">
        <f>"9780310538790"</f>
        <v>9780310538790</v>
      </c>
      <c r="T2989" t="str">
        <f>"9780310599845"</f>
        <v>9780310599845</v>
      </c>
      <c r="U2989" t="b">
        <v>0</v>
      </c>
      <c r="W2989" t="b">
        <v>0</v>
      </c>
    </row>
    <row r="2990" spans="1:23" x14ac:dyDescent="0.3">
      <c r="A2990">
        <v>2026351</v>
      </c>
      <c r="B2990">
        <v>127.62</v>
      </c>
      <c r="C2990" t="s">
        <v>6855</v>
      </c>
      <c r="D2990" t="s">
        <v>6856</v>
      </c>
      <c r="E2990" t="s">
        <v>49</v>
      </c>
      <c r="F2990" t="s">
        <v>106</v>
      </c>
      <c r="G2990">
        <v>2018</v>
      </c>
      <c r="H2990" t="s">
        <v>3423</v>
      </c>
      <c r="I2990" t="s">
        <v>6857</v>
      </c>
      <c r="J2990" t="s">
        <v>6462</v>
      </c>
      <c r="K2990" t="s">
        <v>25</v>
      </c>
      <c r="L2990" t="s">
        <v>26</v>
      </c>
      <c r="M2990" t="b">
        <v>1</v>
      </c>
      <c r="N2990" t="s">
        <v>6858</v>
      </c>
      <c r="O2990" t="str">
        <f>"222/.11066"</f>
        <v>222/.11066</v>
      </c>
      <c r="Q2990" t="b">
        <v>0</v>
      </c>
      <c r="S2990" t="str">
        <f>"9780310598572"</f>
        <v>9780310598572</v>
      </c>
      <c r="T2990" t="str">
        <f>"9780310598589"</f>
        <v>9780310598589</v>
      </c>
      <c r="U2990" t="b">
        <v>0</v>
      </c>
      <c r="W2990" t="b">
        <v>0</v>
      </c>
    </row>
    <row r="2991" spans="1:23" x14ac:dyDescent="0.3">
      <c r="A2991">
        <v>2026350</v>
      </c>
      <c r="B2991">
        <v>60.37</v>
      </c>
      <c r="C2991" t="s">
        <v>6859</v>
      </c>
      <c r="D2991" t="s">
        <v>6860</v>
      </c>
      <c r="E2991" t="s">
        <v>49</v>
      </c>
      <c r="F2991" t="s">
        <v>44</v>
      </c>
      <c r="G2991">
        <v>2019</v>
      </c>
      <c r="H2991" t="s">
        <v>107</v>
      </c>
      <c r="I2991" t="s">
        <v>6861</v>
      </c>
      <c r="J2991" t="s">
        <v>6862</v>
      </c>
      <c r="K2991" t="s">
        <v>25</v>
      </c>
      <c r="L2991" t="s">
        <v>26</v>
      </c>
      <c r="M2991" t="b">
        <v>1</v>
      </c>
      <c r="N2991" t="s">
        <v>1198</v>
      </c>
      <c r="O2991" t="str">
        <f>"305.800973"</f>
        <v>305.800973</v>
      </c>
      <c r="Q2991" t="b">
        <v>0</v>
      </c>
      <c r="S2991" t="str">
        <f>"9780310597261"</f>
        <v>9780310597261</v>
      </c>
      <c r="T2991" t="str">
        <f>"9780310597278"</f>
        <v>9780310597278</v>
      </c>
      <c r="U2991" t="b">
        <v>0</v>
      </c>
      <c r="W2991" t="b">
        <v>0</v>
      </c>
    </row>
    <row r="2992" spans="1:23" x14ac:dyDescent="0.3">
      <c r="A2992">
        <v>2026349</v>
      </c>
      <c r="B2992">
        <v>172.47</v>
      </c>
      <c r="C2992" t="s">
        <v>6863</v>
      </c>
      <c r="D2992" t="s">
        <v>6852</v>
      </c>
      <c r="E2992" t="s">
        <v>49</v>
      </c>
      <c r="F2992" t="s">
        <v>106</v>
      </c>
      <c r="G2992">
        <v>2018</v>
      </c>
      <c r="H2992" t="s">
        <v>1181</v>
      </c>
      <c r="I2992" t="s">
        <v>6864</v>
      </c>
      <c r="J2992" t="s">
        <v>6865</v>
      </c>
      <c r="K2992" t="s">
        <v>25</v>
      </c>
      <c r="L2992" t="s">
        <v>26</v>
      </c>
      <c r="M2992" t="b">
        <v>1</v>
      </c>
      <c r="N2992" t="s">
        <v>44</v>
      </c>
      <c r="O2992" t="str">
        <f>"251.009"</f>
        <v>251.009</v>
      </c>
      <c r="P2992" t="s">
        <v>6866</v>
      </c>
      <c r="Q2992" t="b">
        <v>0</v>
      </c>
      <c r="S2992" t="str">
        <f>"9780310538264"</f>
        <v>9780310538264</v>
      </c>
      <c r="T2992" t="str">
        <f>"9780310538271"</f>
        <v>9780310538271</v>
      </c>
      <c r="U2992" t="b">
        <v>0</v>
      </c>
      <c r="W2992" t="b">
        <v>0</v>
      </c>
    </row>
    <row r="2993" spans="1:23" x14ac:dyDescent="0.3">
      <c r="A2993">
        <v>2026348</v>
      </c>
      <c r="B2993">
        <v>172.47</v>
      </c>
      <c r="C2993" t="s">
        <v>6867</v>
      </c>
      <c r="D2993" t="s">
        <v>6852</v>
      </c>
      <c r="E2993" t="s">
        <v>49</v>
      </c>
      <c r="F2993" t="s">
        <v>106</v>
      </c>
      <c r="G2993">
        <v>2018</v>
      </c>
      <c r="H2993" t="s">
        <v>1181</v>
      </c>
      <c r="I2993" t="s">
        <v>6853</v>
      </c>
      <c r="J2993" t="s">
        <v>6865</v>
      </c>
      <c r="K2993" t="s">
        <v>25</v>
      </c>
      <c r="L2993" t="s">
        <v>26</v>
      </c>
      <c r="M2993" t="b">
        <v>1</v>
      </c>
      <c r="N2993" t="s">
        <v>44</v>
      </c>
      <c r="O2993" t="str">
        <f>"251.009"</f>
        <v>251.009</v>
      </c>
      <c r="P2993" t="s">
        <v>6866</v>
      </c>
      <c r="Q2993" t="b">
        <v>0</v>
      </c>
      <c r="S2993" t="str">
        <f>"9780310538226"</f>
        <v>9780310538226</v>
      </c>
      <c r="T2993" t="str">
        <f>"9780310538233"</f>
        <v>9780310538233</v>
      </c>
      <c r="U2993" t="b">
        <v>0</v>
      </c>
      <c r="W2993" t="b">
        <v>0</v>
      </c>
    </row>
    <row r="2994" spans="1:23" x14ac:dyDescent="0.3">
      <c r="A2994">
        <v>2026347</v>
      </c>
      <c r="B2994">
        <v>65.52</v>
      </c>
      <c r="C2994" t="s">
        <v>6868</v>
      </c>
      <c r="D2994" t="s">
        <v>6869</v>
      </c>
      <c r="E2994" t="s">
        <v>49</v>
      </c>
      <c r="F2994" t="s">
        <v>44</v>
      </c>
      <c r="G2994">
        <v>2018</v>
      </c>
      <c r="H2994" t="s">
        <v>1126</v>
      </c>
      <c r="I2994" t="s">
        <v>6870</v>
      </c>
      <c r="J2994" t="s">
        <v>6871</v>
      </c>
      <c r="K2994" t="s">
        <v>25</v>
      </c>
      <c r="L2994" t="s">
        <v>26</v>
      </c>
      <c r="M2994" t="b">
        <v>1</v>
      </c>
      <c r="N2994" t="s">
        <v>6872</v>
      </c>
      <c r="O2994" t="str">
        <f>"306.76/6092"</f>
        <v>306.76/6092</v>
      </c>
      <c r="Q2994" t="b">
        <v>0</v>
      </c>
      <c r="S2994" t="str">
        <f>"9780310538103"</f>
        <v>9780310538103</v>
      </c>
      <c r="T2994" t="str">
        <f>"9780310538127"</f>
        <v>9780310538127</v>
      </c>
      <c r="U2994" t="b">
        <v>0</v>
      </c>
      <c r="W2994" t="b">
        <v>0</v>
      </c>
    </row>
    <row r="2995" spans="1:23" x14ac:dyDescent="0.3">
      <c r="A2995">
        <v>2026346</v>
      </c>
      <c r="B2995">
        <v>51.72</v>
      </c>
      <c r="C2995" t="s">
        <v>6873</v>
      </c>
      <c r="D2995" t="s">
        <v>6874</v>
      </c>
      <c r="E2995" t="s">
        <v>49</v>
      </c>
      <c r="F2995" t="s">
        <v>44</v>
      </c>
      <c r="G2995">
        <v>2018</v>
      </c>
      <c r="H2995" t="s">
        <v>1044</v>
      </c>
      <c r="I2995" t="s">
        <v>6406</v>
      </c>
      <c r="J2995" t="s">
        <v>6875</v>
      </c>
      <c r="K2995" t="s">
        <v>25</v>
      </c>
      <c r="L2995" t="s">
        <v>26</v>
      </c>
      <c r="M2995" t="b">
        <v>1</v>
      </c>
      <c r="N2995" t="s">
        <v>6222</v>
      </c>
      <c r="O2995" t="str">
        <f>"234/.163"</f>
        <v>234/.163</v>
      </c>
      <c r="Q2995" t="b">
        <v>0</v>
      </c>
      <c r="S2995" t="str">
        <f>"9780310536475"</f>
        <v>9780310536475</v>
      </c>
      <c r="T2995" t="str">
        <f>"9780310536482"</f>
        <v>9780310536482</v>
      </c>
      <c r="U2995" t="b">
        <v>0</v>
      </c>
      <c r="W2995" t="b">
        <v>0</v>
      </c>
    </row>
    <row r="2996" spans="1:23" x14ac:dyDescent="0.3">
      <c r="A2996">
        <v>2026345</v>
      </c>
      <c r="B2996">
        <v>155.22</v>
      </c>
      <c r="C2996" t="s">
        <v>6876</v>
      </c>
      <c r="D2996" t="s">
        <v>6877</v>
      </c>
      <c r="E2996" t="s">
        <v>49</v>
      </c>
      <c r="F2996" t="s">
        <v>106</v>
      </c>
      <c r="G2996">
        <v>2018</v>
      </c>
      <c r="H2996" t="s">
        <v>1261</v>
      </c>
      <c r="I2996" t="s">
        <v>6878</v>
      </c>
      <c r="J2996" t="s">
        <v>6879</v>
      </c>
      <c r="K2996" t="s">
        <v>25</v>
      </c>
      <c r="L2996" t="s">
        <v>26</v>
      </c>
      <c r="M2996" t="b">
        <v>1</v>
      </c>
      <c r="N2996" t="s">
        <v>6880</v>
      </c>
      <c r="O2996" t="str">
        <f>"170"</f>
        <v>170</v>
      </c>
      <c r="Q2996" t="b">
        <v>0</v>
      </c>
      <c r="S2996" t="str">
        <f>"9780310536420"</f>
        <v>9780310536420</v>
      </c>
      <c r="T2996" t="str">
        <f>"9780310536437"</f>
        <v>9780310536437</v>
      </c>
      <c r="U2996" t="b">
        <v>0</v>
      </c>
      <c r="W2996" t="b">
        <v>0</v>
      </c>
    </row>
    <row r="2997" spans="1:23" x14ac:dyDescent="0.3">
      <c r="A2997">
        <v>2026343</v>
      </c>
      <c r="B2997">
        <v>258.72000000000003</v>
      </c>
      <c r="C2997" t="s">
        <v>6881</v>
      </c>
      <c r="D2997" t="s">
        <v>6882</v>
      </c>
      <c r="E2997" t="s">
        <v>49</v>
      </c>
      <c r="F2997" t="s">
        <v>106</v>
      </c>
      <c r="G2997">
        <v>2018</v>
      </c>
      <c r="H2997" t="s">
        <v>6883</v>
      </c>
      <c r="I2997" t="s">
        <v>6884</v>
      </c>
      <c r="J2997" t="s">
        <v>6885</v>
      </c>
      <c r="K2997" t="s">
        <v>25</v>
      </c>
      <c r="L2997" t="s">
        <v>26</v>
      </c>
      <c r="M2997" t="b">
        <v>1</v>
      </c>
      <c r="N2997" t="s">
        <v>44</v>
      </c>
      <c r="O2997" t="str">
        <f>"253.5"</f>
        <v>253.5</v>
      </c>
      <c r="Q2997" t="b">
        <v>0</v>
      </c>
      <c r="S2997" t="str">
        <f>"9780310529446"</f>
        <v>9780310529446</v>
      </c>
      <c r="T2997" t="str">
        <f>"9780310529453"</f>
        <v>9780310529453</v>
      </c>
      <c r="U2997" t="b">
        <v>0</v>
      </c>
      <c r="W2997" t="b">
        <v>0</v>
      </c>
    </row>
    <row r="2998" spans="1:23" x14ac:dyDescent="0.3">
      <c r="A2998">
        <v>2026340</v>
      </c>
      <c r="B2998">
        <v>58.62</v>
      </c>
      <c r="C2998" t="s">
        <v>6886</v>
      </c>
      <c r="E2998" t="s">
        <v>49</v>
      </c>
      <c r="F2998" t="s">
        <v>44</v>
      </c>
      <c r="G2998">
        <v>2018</v>
      </c>
      <c r="H2998" t="s">
        <v>738</v>
      </c>
      <c r="I2998" t="s">
        <v>6887</v>
      </c>
      <c r="J2998" t="s">
        <v>895</v>
      </c>
      <c r="K2998" t="s">
        <v>25</v>
      </c>
      <c r="L2998" t="s">
        <v>26</v>
      </c>
      <c r="M2998" t="b">
        <v>1</v>
      </c>
      <c r="N2998" t="s">
        <v>6888</v>
      </c>
      <c r="O2998" t="str">
        <f>"220.09"</f>
        <v>220.09</v>
      </c>
      <c r="P2998" t="s">
        <v>6889</v>
      </c>
      <c r="Q2998" t="b">
        <v>0</v>
      </c>
      <c r="S2998" t="str">
        <f>"9780310537205"</f>
        <v>9780310537205</v>
      </c>
      <c r="T2998" t="str">
        <f>"9780310537229"</f>
        <v>9780310537229</v>
      </c>
      <c r="U2998" t="b">
        <v>0</v>
      </c>
      <c r="W2998" t="b">
        <v>0</v>
      </c>
    </row>
    <row r="2999" spans="1:23" x14ac:dyDescent="0.3">
      <c r="A2999">
        <v>2026339</v>
      </c>
      <c r="B2999">
        <v>58.62</v>
      </c>
      <c r="C2999" t="s">
        <v>6890</v>
      </c>
      <c r="D2999" t="s">
        <v>6891</v>
      </c>
      <c r="E2999" t="s">
        <v>49</v>
      </c>
      <c r="F2999" t="s">
        <v>44</v>
      </c>
      <c r="G2999">
        <v>2018</v>
      </c>
      <c r="H2999" t="s">
        <v>179</v>
      </c>
      <c r="K2999" t="s">
        <v>25</v>
      </c>
      <c r="L2999" t="s">
        <v>26</v>
      </c>
      <c r="M2999" t="b">
        <v>1</v>
      </c>
      <c r="N2999" t="s">
        <v>6892</v>
      </c>
      <c r="P2999" t="s">
        <v>6893</v>
      </c>
      <c r="Q2999" t="b">
        <v>0</v>
      </c>
      <c r="S2999" t="str">
        <f>"9780310566526"</f>
        <v>9780310566526</v>
      </c>
      <c r="T2999" t="str">
        <f>"9780310566533"</f>
        <v>9780310566533</v>
      </c>
      <c r="U2999" t="b">
        <v>0</v>
      </c>
      <c r="W2999" t="b">
        <v>0</v>
      </c>
    </row>
    <row r="3000" spans="1:23" x14ac:dyDescent="0.3">
      <c r="A3000">
        <v>2026338</v>
      </c>
      <c r="B3000">
        <v>79.319999999999993</v>
      </c>
      <c r="C3000" t="s">
        <v>6894</v>
      </c>
      <c r="D3000" t="s">
        <v>6895</v>
      </c>
      <c r="E3000" t="s">
        <v>49</v>
      </c>
      <c r="F3000" t="s">
        <v>106</v>
      </c>
      <c r="G3000">
        <v>2018</v>
      </c>
      <c r="H3000" t="s">
        <v>71</v>
      </c>
      <c r="I3000" t="s">
        <v>6896</v>
      </c>
      <c r="J3000" t="s">
        <v>895</v>
      </c>
      <c r="K3000" t="s">
        <v>25</v>
      </c>
      <c r="L3000" t="s">
        <v>26</v>
      </c>
      <c r="M3000" t="b">
        <v>1</v>
      </c>
      <c r="N3000" t="s">
        <v>6897</v>
      </c>
      <c r="O3000" t="str">
        <f>"231/.6"</f>
        <v>231/.6</v>
      </c>
      <c r="Q3000" t="b">
        <v>0</v>
      </c>
      <c r="S3000" t="str">
        <f>"9780310520269"</f>
        <v>9780310520269</v>
      </c>
      <c r="T3000" t="str">
        <f>"9780310520276"</f>
        <v>9780310520276</v>
      </c>
      <c r="U3000" t="b">
        <v>0</v>
      </c>
      <c r="W3000" t="b">
        <v>0</v>
      </c>
    </row>
    <row r="3001" spans="1:23" x14ac:dyDescent="0.3">
      <c r="A3001">
        <v>2026337</v>
      </c>
      <c r="B3001">
        <v>58.62</v>
      </c>
      <c r="C3001" t="s">
        <v>6898</v>
      </c>
      <c r="D3001" t="s">
        <v>6891</v>
      </c>
      <c r="E3001" t="s">
        <v>49</v>
      </c>
      <c r="F3001" t="s">
        <v>44</v>
      </c>
      <c r="G3001">
        <v>2018</v>
      </c>
      <c r="H3001" t="s">
        <v>738</v>
      </c>
      <c r="K3001" t="s">
        <v>25</v>
      </c>
      <c r="L3001" t="s">
        <v>26</v>
      </c>
      <c r="M3001" t="b">
        <v>1</v>
      </c>
      <c r="N3001" t="s">
        <v>6892</v>
      </c>
      <c r="P3001" t="s">
        <v>6893</v>
      </c>
      <c r="Q3001" t="b">
        <v>0</v>
      </c>
      <c r="S3001" t="str">
        <f>"9780310566601"</f>
        <v>9780310566601</v>
      </c>
      <c r="T3001" t="str">
        <f>"9780310566748"</f>
        <v>9780310566748</v>
      </c>
      <c r="U3001" t="b">
        <v>0</v>
      </c>
      <c r="W3001" t="b">
        <v>0</v>
      </c>
    </row>
    <row r="3002" spans="1:23" x14ac:dyDescent="0.3">
      <c r="A3002">
        <v>2026336</v>
      </c>
      <c r="B3002">
        <v>137.97</v>
      </c>
      <c r="C3002" t="s">
        <v>6899</v>
      </c>
      <c r="E3002" t="s">
        <v>49</v>
      </c>
      <c r="F3002" t="s">
        <v>106</v>
      </c>
      <c r="G3002">
        <v>2018</v>
      </c>
      <c r="H3002" t="s">
        <v>5760</v>
      </c>
      <c r="I3002" t="s">
        <v>6900</v>
      </c>
      <c r="J3002" t="s">
        <v>6901</v>
      </c>
      <c r="K3002" t="s">
        <v>25</v>
      </c>
      <c r="L3002" t="s">
        <v>26</v>
      </c>
      <c r="M3002" t="b">
        <v>1</v>
      </c>
      <c r="N3002" t="s">
        <v>1026</v>
      </c>
      <c r="O3002" t="str">
        <f>"234/.7"</f>
        <v>234/.7</v>
      </c>
      <c r="P3002" t="s">
        <v>6902</v>
      </c>
      <c r="Q3002" t="b">
        <v>0</v>
      </c>
      <c r="S3002" t="str">
        <f>"9780310578383"</f>
        <v>9780310578383</v>
      </c>
      <c r="T3002" t="str">
        <f>"9780310578390"</f>
        <v>9780310578390</v>
      </c>
      <c r="U3002" t="b">
        <v>0</v>
      </c>
      <c r="W3002" t="b">
        <v>0</v>
      </c>
    </row>
    <row r="3003" spans="1:23" x14ac:dyDescent="0.3">
      <c r="A3003">
        <v>2026335</v>
      </c>
      <c r="B3003">
        <v>120.72</v>
      </c>
      <c r="C3003" t="s">
        <v>6903</v>
      </c>
      <c r="D3003" t="s">
        <v>6904</v>
      </c>
      <c r="E3003" t="s">
        <v>49</v>
      </c>
      <c r="F3003" t="s">
        <v>106</v>
      </c>
      <c r="G3003">
        <v>2018</v>
      </c>
      <c r="H3003" t="s">
        <v>70</v>
      </c>
      <c r="I3003" t="s">
        <v>6905</v>
      </c>
      <c r="J3003" t="s">
        <v>6664</v>
      </c>
      <c r="K3003" t="s">
        <v>25</v>
      </c>
      <c r="L3003" t="s">
        <v>26</v>
      </c>
      <c r="M3003" t="b">
        <v>1</v>
      </c>
      <c r="N3003" t="s">
        <v>6906</v>
      </c>
      <c r="O3003" t="str">
        <f>"239"</f>
        <v>239</v>
      </c>
      <c r="Q3003" t="b">
        <v>0</v>
      </c>
      <c r="S3003" t="str">
        <f>"9780310524687"</f>
        <v>9780310524687</v>
      </c>
      <c r="T3003" t="str">
        <f>"9780310524724"</f>
        <v>9780310524724</v>
      </c>
      <c r="U3003" t="b">
        <v>0</v>
      </c>
      <c r="W3003" t="b">
        <v>0</v>
      </c>
    </row>
    <row r="3004" spans="1:23" x14ac:dyDescent="0.3">
      <c r="A3004">
        <v>2026334</v>
      </c>
      <c r="B3004">
        <v>58.62</v>
      </c>
      <c r="C3004" t="s">
        <v>6907</v>
      </c>
      <c r="D3004" t="s">
        <v>6908</v>
      </c>
      <c r="E3004" t="s">
        <v>49</v>
      </c>
      <c r="F3004" t="s">
        <v>44</v>
      </c>
      <c r="G3004">
        <v>2018</v>
      </c>
      <c r="H3004" t="s">
        <v>89</v>
      </c>
      <c r="I3004" t="s">
        <v>6909</v>
      </c>
      <c r="J3004" t="s">
        <v>6910</v>
      </c>
      <c r="K3004" t="s">
        <v>25</v>
      </c>
      <c r="L3004" t="s">
        <v>26</v>
      </c>
      <c r="M3004" t="b">
        <v>1</v>
      </c>
      <c r="N3004" t="s">
        <v>6911</v>
      </c>
      <c r="O3004" t="str">
        <f>"262/.14082"</f>
        <v>262/.14082</v>
      </c>
      <c r="Q3004" t="b">
        <v>0</v>
      </c>
      <c r="S3004" t="str">
        <f>"9780310532187"</f>
        <v>9780310532187</v>
      </c>
      <c r="T3004" t="str">
        <f>"9780310532194"</f>
        <v>9780310532194</v>
      </c>
      <c r="U3004" t="b">
        <v>0</v>
      </c>
      <c r="W3004" t="b">
        <v>0</v>
      </c>
    </row>
    <row r="3005" spans="1:23" x14ac:dyDescent="0.3">
      <c r="A3005">
        <v>2026333</v>
      </c>
      <c r="B3005">
        <v>58.62</v>
      </c>
      <c r="C3005" t="s">
        <v>6912</v>
      </c>
      <c r="D3005" t="s">
        <v>6913</v>
      </c>
      <c r="E3005" t="s">
        <v>49</v>
      </c>
      <c r="F3005" t="s">
        <v>44</v>
      </c>
      <c r="G3005">
        <v>2018</v>
      </c>
      <c r="H3005" t="s">
        <v>58</v>
      </c>
      <c r="I3005" t="s">
        <v>2656</v>
      </c>
      <c r="J3005" t="s">
        <v>6914</v>
      </c>
      <c r="K3005" t="s">
        <v>25</v>
      </c>
      <c r="L3005" t="s">
        <v>26</v>
      </c>
      <c r="M3005" t="b">
        <v>1</v>
      </c>
      <c r="N3005" t="s">
        <v>6915</v>
      </c>
      <c r="O3005" t="str">
        <f>"248.4"</f>
        <v>248.4</v>
      </c>
      <c r="Q3005" t="b">
        <v>0</v>
      </c>
      <c r="S3005" t="str">
        <f>"9780310535324"</f>
        <v>9780310535324</v>
      </c>
      <c r="T3005" t="str">
        <f>"9780310535331"</f>
        <v>9780310535331</v>
      </c>
      <c r="U3005" t="b">
        <v>0</v>
      </c>
      <c r="W3005" t="b">
        <v>0</v>
      </c>
    </row>
    <row r="3006" spans="1:23" x14ac:dyDescent="0.3">
      <c r="A3006">
        <v>2026332</v>
      </c>
      <c r="B3006">
        <v>58.62</v>
      </c>
      <c r="C3006" t="s">
        <v>6916</v>
      </c>
      <c r="D3006" t="s">
        <v>6917</v>
      </c>
      <c r="E3006" t="s">
        <v>49</v>
      </c>
      <c r="F3006" t="s">
        <v>44</v>
      </c>
      <c r="G3006">
        <v>2018</v>
      </c>
      <c r="H3006" t="s">
        <v>179</v>
      </c>
      <c r="K3006" t="s">
        <v>25</v>
      </c>
      <c r="L3006" t="s">
        <v>26</v>
      </c>
      <c r="M3006" t="b">
        <v>1</v>
      </c>
      <c r="N3006" t="s">
        <v>6892</v>
      </c>
      <c r="P3006" t="s">
        <v>6893</v>
      </c>
      <c r="Q3006" t="b">
        <v>0</v>
      </c>
      <c r="S3006" t="str">
        <f>"9780310566564"</f>
        <v>9780310566564</v>
      </c>
      <c r="T3006" t="str">
        <f>"9780310566571"</f>
        <v>9780310566571</v>
      </c>
      <c r="U3006" t="b">
        <v>0</v>
      </c>
      <c r="W3006" t="b">
        <v>0</v>
      </c>
    </row>
    <row r="3007" spans="1:23" x14ac:dyDescent="0.3">
      <c r="A3007">
        <v>2026331</v>
      </c>
      <c r="B3007">
        <v>137.97</v>
      </c>
      <c r="C3007" t="s">
        <v>6918</v>
      </c>
      <c r="E3007" t="s">
        <v>49</v>
      </c>
      <c r="F3007" t="s">
        <v>106</v>
      </c>
      <c r="G3007">
        <v>2018</v>
      </c>
      <c r="H3007" t="s">
        <v>5760</v>
      </c>
      <c r="I3007" t="s">
        <v>6900</v>
      </c>
      <c r="J3007" t="s">
        <v>6901</v>
      </c>
      <c r="K3007" t="s">
        <v>25</v>
      </c>
      <c r="L3007" t="s">
        <v>26</v>
      </c>
      <c r="M3007" t="b">
        <v>1</v>
      </c>
      <c r="N3007" t="s">
        <v>1026</v>
      </c>
      <c r="O3007" t="str">
        <f>"234/.7"</f>
        <v>234/.7</v>
      </c>
      <c r="P3007" t="s">
        <v>6902</v>
      </c>
      <c r="Q3007" t="b">
        <v>0</v>
      </c>
      <c r="S3007" t="str">
        <f>"9780310491606"</f>
        <v>9780310491606</v>
      </c>
      <c r="T3007" t="str">
        <f>"9780310491620"</f>
        <v>9780310491620</v>
      </c>
      <c r="U3007" t="b">
        <v>0</v>
      </c>
      <c r="W3007" t="b">
        <v>0</v>
      </c>
    </row>
    <row r="3008" spans="1:23" x14ac:dyDescent="0.3">
      <c r="A3008">
        <v>2026330</v>
      </c>
      <c r="B3008">
        <v>58.62</v>
      </c>
      <c r="C3008" t="s">
        <v>6919</v>
      </c>
      <c r="D3008" t="s">
        <v>6920</v>
      </c>
      <c r="E3008" t="s">
        <v>23</v>
      </c>
      <c r="F3008" t="s">
        <v>44</v>
      </c>
      <c r="G3008">
        <v>2018</v>
      </c>
      <c r="H3008" t="s">
        <v>58</v>
      </c>
      <c r="I3008" t="s">
        <v>6921</v>
      </c>
      <c r="J3008" t="s">
        <v>6922</v>
      </c>
      <c r="K3008" t="s">
        <v>25</v>
      </c>
      <c r="L3008" t="s">
        <v>26</v>
      </c>
      <c r="M3008" t="b">
        <v>1</v>
      </c>
      <c r="N3008" t="s">
        <v>6923</v>
      </c>
      <c r="O3008" t="str">
        <f>"241/.672"</f>
        <v>241/.672</v>
      </c>
      <c r="Q3008" t="b">
        <v>0</v>
      </c>
      <c r="S3008" t="str">
        <f>"9780310538967"</f>
        <v>9780310538967</v>
      </c>
      <c r="T3008" t="str">
        <f>"9780310538974"</f>
        <v>9780310538974</v>
      </c>
      <c r="U3008" t="b">
        <v>0</v>
      </c>
      <c r="W3008" t="b">
        <v>0</v>
      </c>
    </row>
    <row r="3009" spans="1:23" x14ac:dyDescent="0.3">
      <c r="A3009">
        <v>2026329</v>
      </c>
      <c r="B3009">
        <v>68.97</v>
      </c>
      <c r="C3009" t="s">
        <v>6924</v>
      </c>
      <c r="D3009" t="s">
        <v>3445</v>
      </c>
      <c r="E3009" t="s">
        <v>49</v>
      </c>
      <c r="F3009" t="s">
        <v>106</v>
      </c>
      <c r="G3009">
        <v>2019</v>
      </c>
      <c r="H3009" t="s">
        <v>3415</v>
      </c>
      <c r="I3009" t="s">
        <v>6925</v>
      </c>
      <c r="J3009" t="s">
        <v>895</v>
      </c>
      <c r="K3009" t="s">
        <v>25</v>
      </c>
      <c r="L3009" t="s">
        <v>26</v>
      </c>
      <c r="M3009" t="b">
        <v>1</v>
      </c>
      <c r="N3009" t="s">
        <v>6845</v>
      </c>
      <c r="O3009" t="str">
        <f>"225.02/02"</f>
        <v>225.02/02</v>
      </c>
      <c r="P3009" t="s">
        <v>6926</v>
      </c>
      <c r="Q3009" t="b">
        <v>0</v>
      </c>
      <c r="S3009" t="str">
        <f>"9780310282938"</f>
        <v>9780310282938</v>
      </c>
      <c r="T3009" t="str">
        <f>"9780310100348"</f>
        <v>9780310100348</v>
      </c>
      <c r="U3009" t="b">
        <v>0</v>
      </c>
      <c r="V3009" t="s">
        <v>6824</v>
      </c>
      <c r="W3009" t="b">
        <v>0</v>
      </c>
    </row>
    <row r="3010" spans="1:23" x14ac:dyDescent="0.3">
      <c r="A3010">
        <v>2026328</v>
      </c>
      <c r="B3010">
        <v>89.67</v>
      </c>
      <c r="C3010" t="s">
        <v>6927</v>
      </c>
      <c r="D3010" t="s">
        <v>6928</v>
      </c>
      <c r="E3010" t="s">
        <v>49</v>
      </c>
      <c r="F3010" t="s">
        <v>44</v>
      </c>
      <c r="G3010">
        <v>2018</v>
      </c>
      <c r="H3010" t="s">
        <v>804</v>
      </c>
      <c r="I3010" t="s">
        <v>6929</v>
      </c>
      <c r="J3010" t="s">
        <v>3434</v>
      </c>
      <c r="K3010" t="s">
        <v>25</v>
      </c>
      <c r="L3010" t="s">
        <v>26</v>
      </c>
      <c r="M3010" t="b">
        <v>1</v>
      </c>
      <c r="N3010" t="s">
        <v>6930</v>
      </c>
      <c r="O3010" t="str">
        <f>"253"</f>
        <v>253</v>
      </c>
      <c r="P3010" t="s">
        <v>5851</v>
      </c>
      <c r="Q3010" t="b">
        <v>0</v>
      </c>
      <c r="S3010" t="str">
        <f>"9780310536932"</f>
        <v>9780310536932</v>
      </c>
      <c r="T3010" t="str">
        <f>"9780310536949"</f>
        <v>9780310536949</v>
      </c>
      <c r="U3010" t="b">
        <v>0</v>
      </c>
      <c r="W3010" t="b">
        <v>0</v>
      </c>
    </row>
    <row r="3011" spans="1:23" x14ac:dyDescent="0.3">
      <c r="A3011">
        <v>2026327</v>
      </c>
      <c r="B3011">
        <v>51.72</v>
      </c>
      <c r="C3011" t="s">
        <v>6931</v>
      </c>
      <c r="D3011" t="s">
        <v>6932</v>
      </c>
      <c r="E3011" t="s">
        <v>49</v>
      </c>
      <c r="F3011" t="s">
        <v>106</v>
      </c>
      <c r="G3011">
        <v>2018</v>
      </c>
      <c r="H3011" t="s">
        <v>893</v>
      </c>
      <c r="I3011" t="s">
        <v>6933</v>
      </c>
      <c r="J3011" t="s">
        <v>6934</v>
      </c>
      <c r="K3011" t="s">
        <v>25</v>
      </c>
      <c r="L3011" t="s">
        <v>26</v>
      </c>
      <c r="M3011" t="b">
        <v>1</v>
      </c>
      <c r="N3011" t="s">
        <v>6935</v>
      </c>
      <c r="O3011" t="str">
        <f>"481/.6"</f>
        <v>481/.6</v>
      </c>
      <c r="Q3011" t="b">
        <v>0</v>
      </c>
      <c r="S3011" t="str">
        <f>"9780310555643"</f>
        <v>9780310555643</v>
      </c>
      <c r="T3011" t="str">
        <f>"9780310556855"</f>
        <v>9780310556855</v>
      </c>
      <c r="U3011" t="b">
        <v>0</v>
      </c>
      <c r="W3011" t="b">
        <v>0</v>
      </c>
    </row>
    <row r="3012" spans="1:23" x14ac:dyDescent="0.3">
      <c r="A3012">
        <v>2026326</v>
      </c>
      <c r="B3012">
        <v>127.62</v>
      </c>
      <c r="C3012" t="s">
        <v>6936</v>
      </c>
      <c r="D3012" t="s">
        <v>6937</v>
      </c>
      <c r="E3012" t="s">
        <v>49</v>
      </c>
      <c r="F3012" t="s">
        <v>106</v>
      </c>
      <c r="G3012">
        <v>2018</v>
      </c>
      <c r="H3012" t="s">
        <v>2603</v>
      </c>
      <c r="I3012" t="s">
        <v>6938</v>
      </c>
      <c r="J3012" t="s">
        <v>6939</v>
      </c>
      <c r="K3012" t="s">
        <v>25</v>
      </c>
      <c r="L3012" t="s">
        <v>26</v>
      </c>
      <c r="M3012" t="b">
        <v>1</v>
      </c>
      <c r="N3012" t="s">
        <v>6940</v>
      </c>
      <c r="O3012" t="str">
        <f>"232"</f>
        <v>232</v>
      </c>
      <c r="Q3012" t="b">
        <v>0</v>
      </c>
      <c r="S3012" t="str">
        <f>"9780310536086"</f>
        <v>9780310536086</v>
      </c>
      <c r="T3012" t="str">
        <f>"9780310536093"</f>
        <v>9780310536093</v>
      </c>
      <c r="U3012" t="b">
        <v>0</v>
      </c>
      <c r="W3012" t="b">
        <v>0</v>
      </c>
    </row>
    <row r="3013" spans="1:23" x14ac:dyDescent="0.3">
      <c r="A3013">
        <v>2026325</v>
      </c>
      <c r="B3013">
        <v>65.52</v>
      </c>
      <c r="C3013" t="s">
        <v>6941</v>
      </c>
      <c r="D3013" t="s">
        <v>6942</v>
      </c>
      <c r="E3013" t="s">
        <v>49</v>
      </c>
      <c r="F3013" t="s">
        <v>44</v>
      </c>
      <c r="G3013">
        <v>2018</v>
      </c>
      <c r="H3013" t="s">
        <v>45</v>
      </c>
      <c r="I3013" t="s">
        <v>6943</v>
      </c>
      <c r="J3013" t="s">
        <v>895</v>
      </c>
      <c r="K3013" t="s">
        <v>25</v>
      </c>
      <c r="L3013" t="s">
        <v>26</v>
      </c>
      <c r="M3013" t="b">
        <v>1</v>
      </c>
      <c r="N3013" t="s">
        <v>6944</v>
      </c>
      <c r="O3013" t="str">
        <f>"253"</f>
        <v>253</v>
      </c>
      <c r="P3013" t="s">
        <v>5851</v>
      </c>
      <c r="Q3013" t="b">
        <v>0</v>
      </c>
      <c r="S3013" t="str">
        <f>"9780310538073"</f>
        <v>9780310538073</v>
      </c>
      <c r="T3013" t="str">
        <f>"9780310538080"</f>
        <v>9780310538080</v>
      </c>
      <c r="U3013" t="b">
        <v>0</v>
      </c>
      <c r="W3013" t="b">
        <v>0</v>
      </c>
    </row>
    <row r="3014" spans="1:23" x14ac:dyDescent="0.3">
      <c r="A3014">
        <v>2026324</v>
      </c>
      <c r="B3014">
        <v>65.52</v>
      </c>
      <c r="C3014" t="s">
        <v>6945</v>
      </c>
      <c r="D3014" t="s">
        <v>6946</v>
      </c>
      <c r="E3014" t="s">
        <v>23</v>
      </c>
      <c r="F3014" t="s">
        <v>106</v>
      </c>
      <c r="G3014">
        <v>2018</v>
      </c>
      <c r="H3014" t="s">
        <v>57</v>
      </c>
      <c r="I3014" t="s">
        <v>6403</v>
      </c>
      <c r="K3014" t="s">
        <v>25</v>
      </c>
      <c r="L3014" t="s">
        <v>26</v>
      </c>
      <c r="M3014" t="b">
        <v>1</v>
      </c>
      <c r="N3014" t="s">
        <v>1041</v>
      </c>
      <c r="O3014" t="str">
        <f>"232.9/08"</f>
        <v>232.9/08</v>
      </c>
      <c r="Q3014" t="b">
        <v>0</v>
      </c>
      <c r="S3014" t="str">
        <f>"9780310328612"</f>
        <v>9780310328612</v>
      </c>
      <c r="T3014" t="str">
        <f>"9780310571988"</f>
        <v>9780310571988</v>
      </c>
      <c r="U3014" t="b">
        <v>0</v>
      </c>
      <c r="W3014" t="b">
        <v>0</v>
      </c>
    </row>
    <row r="3015" spans="1:23" x14ac:dyDescent="0.3">
      <c r="A3015">
        <v>2026323</v>
      </c>
      <c r="B3015">
        <v>86.22</v>
      </c>
      <c r="C3015" t="s">
        <v>6947</v>
      </c>
      <c r="D3015" t="s">
        <v>6948</v>
      </c>
      <c r="E3015" t="s">
        <v>49</v>
      </c>
      <c r="F3015" t="s">
        <v>106</v>
      </c>
      <c r="G3015">
        <v>2018</v>
      </c>
      <c r="H3015" t="s">
        <v>71</v>
      </c>
      <c r="I3015" t="s">
        <v>6949</v>
      </c>
      <c r="J3015" t="s">
        <v>895</v>
      </c>
      <c r="K3015" t="s">
        <v>25</v>
      </c>
      <c r="L3015" t="s">
        <v>26</v>
      </c>
      <c r="M3015" t="b">
        <v>1</v>
      </c>
      <c r="N3015" t="s">
        <v>6950</v>
      </c>
      <c r="O3015" t="str">
        <f>"261.5/7"</f>
        <v>261.5/7</v>
      </c>
      <c r="Q3015" t="b">
        <v>0</v>
      </c>
      <c r="S3015" t="str">
        <f>"9780310534365"</f>
        <v>9780310534365</v>
      </c>
      <c r="T3015" t="str">
        <f>"9780310534372"</f>
        <v>9780310534372</v>
      </c>
      <c r="U3015" t="b">
        <v>0</v>
      </c>
      <c r="W3015" t="b">
        <v>0</v>
      </c>
    </row>
    <row r="3016" spans="1:23" x14ac:dyDescent="0.3">
      <c r="A3016">
        <v>2026322</v>
      </c>
      <c r="B3016">
        <v>137.97</v>
      </c>
      <c r="C3016" t="s">
        <v>6951</v>
      </c>
      <c r="D3016" t="s">
        <v>6937</v>
      </c>
      <c r="E3016" t="s">
        <v>49</v>
      </c>
      <c r="F3016" t="s">
        <v>106</v>
      </c>
      <c r="G3016">
        <v>2018</v>
      </c>
      <c r="H3016" t="s">
        <v>71</v>
      </c>
      <c r="I3016" t="s">
        <v>6952</v>
      </c>
      <c r="J3016" t="s">
        <v>6953</v>
      </c>
      <c r="K3016" t="s">
        <v>25</v>
      </c>
      <c r="L3016" t="s">
        <v>26</v>
      </c>
      <c r="M3016" t="b">
        <v>1</v>
      </c>
      <c r="N3016" t="s">
        <v>6940</v>
      </c>
      <c r="O3016" t="str">
        <f>"231.7/65"</f>
        <v>231.7/65</v>
      </c>
      <c r="P3016" t="s">
        <v>6951</v>
      </c>
      <c r="Q3016" t="b">
        <v>0</v>
      </c>
      <c r="S3016" t="str">
        <f>"9780310536130"</f>
        <v>9780310536130</v>
      </c>
      <c r="T3016" t="str">
        <f>"9780310536147"</f>
        <v>9780310536147</v>
      </c>
      <c r="U3016" t="b">
        <v>0</v>
      </c>
      <c r="W3016" t="b">
        <v>0</v>
      </c>
    </row>
    <row r="3017" spans="1:23" x14ac:dyDescent="0.3">
      <c r="A3017">
        <v>2026321</v>
      </c>
      <c r="B3017">
        <v>62.07</v>
      </c>
      <c r="C3017" t="s">
        <v>6954</v>
      </c>
      <c r="D3017" t="s">
        <v>6955</v>
      </c>
      <c r="E3017" t="s">
        <v>49</v>
      </c>
      <c r="F3017" t="s">
        <v>44</v>
      </c>
      <c r="G3017">
        <v>2018</v>
      </c>
      <c r="H3017" t="s">
        <v>52</v>
      </c>
      <c r="I3017" t="s">
        <v>6956</v>
      </c>
      <c r="J3017" t="s">
        <v>6957</v>
      </c>
      <c r="K3017" t="s">
        <v>25</v>
      </c>
      <c r="L3017" t="s">
        <v>26</v>
      </c>
      <c r="M3017" t="b">
        <v>1</v>
      </c>
      <c r="N3017" t="s">
        <v>6958</v>
      </c>
      <c r="O3017" t="str">
        <f>"259/.42"</f>
        <v>259/.42</v>
      </c>
      <c r="Q3017" t="b">
        <v>0</v>
      </c>
      <c r="S3017" t="str">
        <f>"9780310534815"</f>
        <v>9780310534815</v>
      </c>
      <c r="T3017" t="str">
        <f>"9780310534822"</f>
        <v>9780310534822</v>
      </c>
      <c r="U3017" t="b">
        <v>0</v>
      </c>
      <c r="W3017" t="b">
        <v>0</v>
      </c>
    </row>
    <row r="3018" spans="1:23" x14ac:dyDescent="0.3">
      <c r="A3018">
        <v>2026320</v>
      </c>
      <c r="B3018">
        <v>79.319999999999993</v>
      </c>
      <c r="C3018" t="s">
        <v>6959</v>
      </c>
      <c r="D3018" t="s">
        <v>6960</v>
      </c>
      <c r="E3018" t="s">
        <v>49</v>
      </c>
      <c r="F3018" t="s">
        <v>44</v>
      </c>
      <c r="G3018">
        <v>2018</v>
      </c>
      <c r="H3018" t="s">
        <v>55</v>
      </c>
      <c r="I3018" t="s">
        <v>6961</v>
      </c>
      <c r="J3018" t="s">
        <v>895</v>
      </c>
      <c r="K3018" t="s">
        <v>25</v>
      </c>
      <c r="L3018" t="s">
        <v>26</v>
      </c>
      <c r="M3018" t="b">
        <v>1</v>
      </c>
      <c r="N3018" t="s">
        <v>6962</v>
      </c>
      <c r="O3018" t="str">
        <f>"232"</f>
        <v>232</v>
      </c>
      <c r="Q3018" t="b">
        <v>0</v>
      </c>
      <c r="S3018" t="str">
        <f>"9780310536543"</f>
        <v>9780310536543</v>
      </c>
      <c r="T3018" t="str">
        <f>"9780310536550"</f>
        <v>9780310536550</v>
      </c>
      <c r="U3018" t="b">
        <v>0</v>
      </c>
      <c r="W3018" t="b">
        <v>0</v>
      </c>
    </row>
    <row r="3019" spans="1:23" x14ac:dyDescent="0.3">
      <c r="A3019">
        <v>2026319</v>
      </c>
      <c r="B3019">
        <v>86.22</v>
      </c>
      <c r="C3019" t="s">
        <v>6963</v>
      </c>
      <c r="D3019" t="s">
        <v>6964</v>
      </c>
      <c r="E3019" t="s">
        <v>49</v>
      </c>
      <c r="F3019" t="s">
        <v>106</v>
      </c>
      <c r="G3019">
        <v>2018</v>
      </c>
      <c r="H3019" t="s">
        <v>179</v>
      </c>
      <c r="I3019" t="s">
        <v>6965</v>
      </c>
      <c r="J3019" t="s">
        <v>6966</v>
      </c>
      <c r="K3019" t="s">
        <v>25</v>
      </c>
      <c r="L3019" t="s">
        <v>26</v>
      </c>
      <c r="M3019" t="b">
        <v>1</v>
      </c>
      <c r="N3019" t="s">
        <v>6967</v>
      </c>
      <c r="O3019" t="str">
        <f>"261.8/8"</f>
        <v>261.8/8</v>
      </c>
      <c r="P3019" t="s">
        <v>6968</v>
      </c>
      <c r="Q3019" t="b">
        <v>0</v>
      </c>
      <c r="S3019" t="str">
        <f>"9780310293743"</f>
        <v>9780310293743</v>
      </c>
      <c r="T3019" t="str">
        <f>"9780310416555"</f>
        <v>9780310416555</v>
      </c>
      <c r="U3019" t="b">
        <v>0</v>
      </c>
      <c r="W3019" t="b">
        <v>0</v>
      </c>
    </row>
    <row r="3020" spans="1:23" x14ac:dyDescent="0.3">
      <c r="A3020">
        <v>2026318</v>
      </c>
      <c r="B3020">
        <v>86.22</v>
      </c>
      <c r="C3020" t="s">
        <v>6969</v>
      </c>
      <c r="D3020" t="s">
        <v>6970</v>
      </c>
      <c r="E3020" t="s">
        <v>49</v>
      </c>
      <c r="F3020" t="s">
        <v>106</v>
      </c>
      <c r="G3020">
        <v>2018</v>
      </c>
      <c r="H3020" t="s">
        <v>756</v>
      </c>
      <c r="I3020" t="s">
        <v>6971</v>
      </c>
      <c r="J3020" t="s">
        <v>6972</v>
      </c>
      <c r="K3020" t="s">
        <v>25</v>
      </c>
      <c r="L3020" t="s">
        <v>26</v>
      </c>
      <c r="M3020" t="b">
        <v>1</v>
      </c>
      <c r="N3020" t="s">
        <v>5195</v>
      </c>
      <c r="O3020" t="str">
        <f>"269/.2"</f>
        <v>269/.2</v>
      </c>
      <c r="Q3020" t="b">
        <v>0</v>
      </c>
      <c r="S3020" t="str">
        <f>"9780310534679"</f>
        <v>9780310534679</v>
      </c>
      <c r="T3020" t="str">
        <f>"9780310534686"</f>
        <v>9780310534686</v>
      </c>
      <c r="U3020" t="b">
        <v>0</v>
      </c>
      <c r="W3020" t="b">
        <v>0</v>
      </c>
    </row>
    <row r="3021" spans="1:23" x14ac:dyDescent="0.3">
      <c r="A3021">
        <v>2026317</v>
      </c>
      <c r="B3021">
        <v>62.07</v>
      </c>
      <c r="C3021" t="s">
        <v>6973</v>
      </c>
      <c r="D3021" t="s">
        <v>6974</v>
      </c>
      <c r="E3021" t="s">
        <v>23</v>
      </c>
      <c r="F3021" t="s">
        <v>44</v>
      </c>
      <c r="G3021">
        <v>2018</v>
      </c>
      <c r="H3021" t="s">
        <v>5848</v>
      </c>
      <c r="K3021" t="s">
        <v>25</v>
      </c>
      <c r="L3021" t="s">
        <v>26</v>
      </c>
      <c r="M3021" t="b">
        <v>1</v>
      </c>
      <c r="N3021" t="s">
        <v>6975</v>
      </c>
      <c r="Q3021" t="b">
        <v>0</v>
      </c>
      <c r="S3021" t="str">
        <f>"9780310538677"</f>
        <v>9780310538677</v>
      </c>
      <c r="T3021" t="str">
        <f>"9780310538684"</f>
        <v>9780310538684</v>
      </c>
      <c r="U3021" t="b">
        <v>0</v>
      </c>
      <c r="W3021" t="b">
        <v>0</v>
      </c>
    </row>
    <row r="3022" spans="1:23" x14ac:dyDescent="0.3">
      <c r="A3022">
        <v>2026316</v>
      </c>
      <c r="B3022">
        <v>79.319999999999993</v>
      </c>
      <c r="C3022" t="s">
        <v>6976</v>
      </c>
      <c r="D3022" t="s">
        <v>6977</v>
      </c>
      <c r="E3022" t="s">
        <v>49</v>
      </c>
      <c r="F3022" t="s">
        <v>44</v>
      </c>
      <c r="G3022">
        <v>2018</v>
      </c>
      <c r="H3022" t="s">
        <v>912</v>
      </c>
      <c r="K3022" t="s">
        <v>25</v>
      </c>
      <c r="L3022" t="s">
        <v>26</v>
      </c>
      <c r="M3022" t="b">
        <v>1</v>
      </c>
      <c r="N3022" t="s">
        <v>3224</v>
      </c>
      <c r="Q3022" t="b">
        <v>0</v>
      </c>
      <c r="S3022" t="str">
        <f>"9780310538141"</f>
        <v>9780310538141</v>
      </c>
      <c r="T3022" t="str">
        <f>"9780310538158"</f>
        <v>9780310538158</v>
      </c>
      <c r="U3022" t="b">
        <v>0</v>
      </c>
      <c r="W3022" t="b">
        <v>0</v>
      </c>
    </row>
    <row r="3023" spans="1:23" x14ac:dyDescent="0.3">
      <c r="A3023">
        <v>2026315</v>
      </c>
      <c r="B3023">
        <v>89.67</v>
      </c>
      <c r="C3023" t="s">
        <v>6978</v>
      </c>
      <c r="D3023" t="s">
        <v>3441</v>
      </c>
      <c r="E3023" t="s">
        <v>49</v>
      </c>
      <c r="F3023" t="s">
        <v>44</v>
      </c>
      <c r="G3023">
        <v>2018</v>
      </c>
      <c r="H3023" t="s">
        <v>751</v>
      </c>
      <c r="I3023" t="s">
        <v>6979</v>
      </c>
      <c r="J3023" t="s">
        <v>6980</v>
      </c>
      <c r="K3023" t="s">
        <v>25</v>
      </c>
      <c r="L3023" t="s">
        <v>26</v>
      </c>
      <c r="M3023" t="b">
        <v>1</v>
      </c>
      <c r="N3023" t="s">
        <v>795</v>
      </c>
      <c r="O3023" t="str">
        <f>"239"</f>
        <v>239</v>
      </c>
      <c r="Q3023" t="b">
        <v>0</v>
      </c>
      <c r="S3023" t="str">
        <f>"9780310536970"</f>
        <v>9780310536970</v>
      </c>
      <c r="T3023" t="str">
        <f>"9780310536994"</f>
        <v>9780310536994</v>
      </c>
      <c r="U3023" t="b">
        <v>0</v>
      </c>
      <c r="W3023" t="b">
        <v>0</v>
      </c>
    </row>
    <row r="3024" spans="1:23" x14ac:dyDescent="0.3">
      <c r="A3024">
        <v>2026314</v>
      </c>
      <c r="B3024">
        <v>79.319999999999993</v>
      </c>
      <c r="C3024" t="s">
        <v>6981</v>
      </c>
      <c r="D3024" t="s">
        <v>854</v>
      </c>
      <c r="E3024" t="s">
        <v>49</v>
      </c>
      <c r="F3024" t="s">
        <v>44</v>
      </c>
      <c r="G3024">
        <v>2017</v>
      </c>
      <c r="H3024" t="s">
        <v>732</v>
      </c>
      <c r="K3024" t="s">
        <v>25</v>
      </c>
      <c r="L3024" t="s">
        <v>26</v>
      </c>
      <c r="M3024" t="b">
        <v>1</v>
      </c>
      <c r="N3024" t="s">
        <v>855</v>
      </c>
      <c r="Q3024" t="b">
        <v>0</v>
      </c>
      <c r="S3024" t="str">
        <f>"9780310536635"</f>
        <v>9780310536635</v>
      </c>
      <c r="T3024" t="str">
        <f>"9780310566359"</f>
        <v>9780310566359</v>
      </c>
      <c r="U3024" t="b">
        <v>0</v>
      </c>
      <c r="W3024" t="b">
        <v>0</v>
      </c>
    </row>
    <row r="3025" spans="1:23" x14ac:dyDescent="0.3">
      <c r="A3025">
        <v>2026313</v>
      </c>
      <c r="B3025">
        <v>131.07</v>
      </c>
      <c r="C3025" t="s">
        <v>6982</v>
      </c>
      <c r="D3025" t="s">
        <v>6983</v>
      </c>
      <c r="E3025" t="s">
        <v>49</v>
      </c>
      <c r="F3025" t="s">
        <v>106</v>
      </c>
      <c r="G3025">
        <v>2018</v>
      </c>
      <c r="H3025" t="s">
        <v>1181</v>
      </c>
      <c r="I3025" t="s">
        <v>6984</v>
      </c>
      <c r="J3025" t="s">
        <v>6985</v>
      </c>
      <c r="K3025" t="s">
        <v>25</v>
      </c>
      <c r="L3025" t="s">
        <v>26</v>
      </c>
      <c r="M3025" t="b">
        <v>1</v>
      </c>
      <c r="N3025" t="s">
        <v>6986</v>
      </c>
      <c r="O3025" t="str">
        <f>"251"</f>
        <v>251</v>
      </c>
      <c r="Q3025" t="b">
        <v>0</v>
      </c>
      <c r="S3025" t="str">
        <f>"9780310536246"</f>
        <v>9780310536246</v>
      </c>
      <c r="T3025" t="str">
        <f>"9780310536253"</f>
        <v>9780310536253</v>
      </c>
      <c r="U3025" t="b">
        <v>0</v>
      </c>
      <c r="V3025" t="s">
        <v>870</v>
      </c>
      <c r="W3025" t="b">
        <v>0</v>
      </c>
    </row>
    <row r="3026" spans="1:23" x14ac:dyDescent="0.3">
      <c r="A3026">
        <v>2026312</v>
      </c>
      <c r="B3026">
        <v>79.319999999999993</v>
      </c>
      <c r="C3026" t="s">
        <v>6987</v>
      </c>
      <c r="D3026" t="s">
        <v>6988</v>
      </c>
      <c r="E3026" t="s">
        <v>49</v>
      </c>
      <c r="F3026" t="s">
        <v>106</v>
      </c>
      <c r="G3026">
        <v>2017</v>
      </c>
      <c r="H3026" t="s">
        <v>179</v>
      </c>
      <c r="I3026" t="s">
        <v>4576</v>
      </c>
      <c r="J3026" t="s">
        <v>895</v>
      </c>
      <c r="K3026" t="s">
        <v>25</v>
      </c>
      <c r="L3026" t="s">
        <v>26</v>
      </c>
      <c r="M3026" t="b">
        <v>1</v>
      </c>
      <c r="N3026" t="s">
        <v>6815</v>
      </c>
      <c r="O3026" t="str">
        <f>"220.601"</f>
        <v>220.601</v>
      </c>
      <c r="Q3026" t="b">
        <v>0</v>
      </c>
      <c r="S3026" t="str">
        <f>"9780310536680"</f>
        <v>9780310536680</v>
      </c>
      <c r="T3026" t="str">
        <f>"9780310536697"</f>
        <v>9780310536697</v>
      </c>
      <c r="U3026" t="b">
        <v>0</v>
      </c>
      <c r="W3026" t="b">
        <v>0</v>
      </c>
    </row>
    <row r="3027" spans="1:23" x14ac:dyDescent="0.3">
      <c r="A3027">
        <v>2026311</v>
      </c>
      <c r="B3027">
        <v>68.97</v>
      </c>
      <c r="C3027" t="s">
        <v>6989</v>
      </c>
      <c r="D3027" t="s">
        <v>6990</v>
      </c>
      <c r="E3027" t="s">
        <v>49</v>
      </c>
      <c r="F3027" t="s">
        <v>44</v>
      </c>
      <c r="G3027">
        <v>2018</v>
      </c>
      <c r="H3027" t="s">
        <v>736</v>
      </c>
      <c r="K3027" t="s">
        <v>25</v>
      </c>
      <c r="L3027" t="s">
        <v>26</v>
      </c>
      <c r="M3027" t="b">
        <v>1</v>
      </c>
      <c r="N3027" t="s">
        <v>6669</v>
      </c>
      <c r="Q3027" t="b">
        <v>0</v>
      </c>
      <c r="S3027" t="str">
        <f>"9780310526810"</f>
        <v>9780310526810</v>
      </c>
      <c r="T3027" t="str">
        <f>"9780310526827"</f>
        <v>9780310526827</v>
      </c>
      <c r="U3027" t="b">
        <v>0</v>
      </c>
      <c r="W3027" t="b">
        <v>0</v>
      </c>
    </row>
    <row r="3028" spans="1:23" x14ac:dyDescent="0.3">
      <c r="A3028">
        <v>2026310</v>
      </c>
      <c r="B3028">
        <v>85.25</v>
      </c>
      <c r="C3028" t="s">
        <v>6991</v>
      </c>
      <c r="E3028" t="s">
        <v>49</v>
      </c>
      <c r="F3028" t="s">
        <v>44</v>
      </c>
      <c r="G3028">
        <v>2016</v>
      </c>
      <c r="H3028" t="s">
        <v>2322</v>
      </c>
      <c r="K3028" t="s">
        <v>25</v>
      </c>
      <c r="L3028" t="s">
        <v>30</v>
      </c>
      <c r="M3028" t="b">
        <v>1</v>
      </c>
      <c r="N3028" t="s">
        <v>6745</v>
      </c>
      <c r="Q3028" t="b">
        <v>0</v>
      </c>
      <c r="T3028" t="str">
        <f>"9780310531692"</f>
        <v>9780310531692</v>
      </c>
      <c r="U3028" t="b">
        <v>0</v>
      </c>
      <c r="W3028" t="b">
        <v>0</v>
      </c>
    </row>
    <row r="3029" spans="1:23" x14ac:dyDescent="0.3">
      <c r="A3029">
        <v>2026309</v>
      </c>
      <c r="B3029">
        <v>172.47</v>
      </c>
      <c r="C3029" t="s">
        <v>6992</v>
      </c>
      <c r="E3029" t="s">
        <v>49</v>
      </c>
      <c r="F3029" t="s">
        <v>106</v>
      </c>
      <c r="G3029">
        <v>2018</v>
      </c>
      <c r="H3029" t="s">
        <v>6799</v>
      </c>
      <c r="I3029" t="s">
        <v>6800</v>
      </c>
      <c r="K3029" t="s">
        <v>25</v>
      </c>
      <c r="L3029" t="s">
        <v>26</v>
      </c>
      <c r="M3029" t="b">
        <v>1</v>
      </c>
      <c r="N3029" t="s">
        <v>6801</v>
      </c>
      <c r="O3029" t="str">
        <f>"226.407"</f>
        <v>226.407</v>
      </c>
      <c r="P3029" t="s">
        <v>6546</v>
      </c>
      <c r="Q3029" t="b">
        <v>0</v>
      </c>
      <c r="S3029" t="str">
        <f>"9780310522201"</f>
        <v>9780310522201</v>
      </c>
      <c r="T3029" t="str">
        <f>"9780310588559"</f>
        <v>9780310588559</v>
      </c>
      <c r="U3029" t="b">
        <v>0</v>
      </c>
      <c r="W3029" t="b">
        <v>0</v>
      </c>
    </row>
    <row r="3030" spans="1:23" x14ac:dyDescent="0.3">
      <c r="A3030">
        <v>2026308</v>
      </c>
      <c r="B3030">
        <v>172.47</v>
      </c>
      <c r="C3030" t="s">
        <v>6993</v>
      </c>
      <c r="E3030" t="s">
        <v>49</v>
      </c>
      <c r="F3030" t="s">
        <v>106</v>
      </c>
      <c r="G3030">
        <v>2018</v>
      </c>
      <c r="H3030" t="s">
        <v>927</v>
      </c>
      <c r="I3030" t="s">
        <v>6540</v>
      </c>
      <c r="K3030" t="s">
        <v>25</v>
      </c>
      <c r="L3030" t="s">
        <v>26</v>
      </c>
      <c r="M3030" t="b">
        <v>1</v>
      </c>
      <c r="N3030" t="s">
        <v>6994</v>
      </c>
      <c r="O3030" t="str">
        <f>"220.7"</f>
        <v>220.7</v>
      </c>
      <c r="P3030" t="s">
        <v>6546</v>
      </c>
      <c r="Q3030" t="b">
        <v>0</v>
      </c>
      <c r="S3030" t="str">
        <f>"9780310522195"</f>
        <v>9780310522195</v>
      </c>
      <c r="T3030" t="str">
        <f>"9780310588511"</f>
        <v>9780310588511</v>
      </c>
      <c r="U3030" t="b">
        <v>0</v>
      </c>
      <c r="W3030" t="b">
        <v>0</v>
      </c>
    </row>
    <row r="3031" spans="1:23" x14ac:dyDescent="0.3">
      <c r="A3031">
        <v>2026307</v>
      </c>
      <c r="B3031">
        <v>86.22</v>
      </c>
      <c r="C3031" t="s">
        <v>6995</v>
      </c>
      <c r="D3031" t="s">
        <v>6996</v>
      </c>
      <c r="E3031" t="s">
        <v>49</v>
      </c>
      <c r="F3031" t="s">
        <v>106</v>
      </c>
      <c r="G3031">
        <v>2016</v>
      </c>
      <c r="H3031" t="s">
        <v>6997</v>
      </c>
      <c r="I3031" t="s">
        <v>6998</v>
      </c>
      <c r="J3031" t="s">
        <v>812</v>
      </c>
      <c r="K3031" t="s">
        <v>25</v>
      </c>
      <c r="L3031" t="s">
        <v>26</v>
      </c>
      <c r="M3031" t="b">
        <v>1</v>
      </c>
      <c r="N3031" t="s">
        <v>760</v>
      </c>
      <c r="O3031" t="str">
        <f>"238/.11"</f>
        <v>238/.11</v>
      </c>
      <c r="Q3031" t="b">
        <v>0</v>
      </c>
      <c r="S3031" t="str">
        <f>"9780310520924"</f>
        <v>9780310520924</v>
      </c>
      <c r="T3031" t="str">
        <f>"9780310520931"</f>
        <v>9780310520931</v>
      </c>
      <c r="U3031" t="b">
        <v>0</v>
      </c>
      <c r="W3031" t="b">
        <v>0</v>
      </c>
    </row>
    <row r="3032" spans="1:23" x14ac:dyDescent="0.3">
      <c r="A3032">
        <v>2026305</v>
      </c>
      <c r="B3032">
        <v>182.82</v>
      </c>
      <c r="C3032" t="s">
        <v>6999</v>
      </c>
      <c r="E3032" t="s">
        <v>49</v>
      </c>
      <c r="F3032" t="s">
        <v>106</v>
      </c>
      <c r="G3032">
        <v>2018</v>
      </c>
      <c r="H3032" t="s">
        <v>1181</v>
      </c>
      <c r="I3032" t="s">
        <v>7000</v>
      </c>
      <c r="K3032" t="s">
        <v>25</v>
      </c>
      <c r="L3032" t="s">
        <v>26</v>
      </c>
      <c r="M3032" t="b">
        <v>1</v>
      </c>
      <c r="N3032" t="s">
        <v>6358</v>
      </c>
      <c r="O3032" t="str">
        <f>"222.1207"</f>
        <v>222.1207</v>
      </c>
      <c r="P3032" t="s">
        <v>6546</v>
      </c>
      <c r="Q3032" t="b">
        <v>0</v>
      </c>
      <c r="S3032" t="str">
        <f>"9780310522270"</f>
        <v>9780310522270</v>
      </c>
      <c r="T3032" t="str">
        <f>"9780310588535"</f>
        <v>9780310588535</v>
      </c>
      <c r="U3032" t="b">
        <v>0</v>
      </c>
      <c r="W3032" t="b">
        <v>0</v>
      </c>
    </row>
    <row r="3033" spans="1:23" x14ac:dyDescent="0.3">
      <c r="A3033">
        <v>2026304</v>
      </c>
      <c r="B3033">
        <v>155.22</v>
      </c>
      <c r="C3033" t="s">
        <v>7001</v>
      </c>
      <c r="E3033" t="s">
        <v>49</v>
      </c>
      <c r="F3033" t="s">
        <v>106</v>
      </c>
      <c r="G3033">
        <v>2018</v>
      </c>
      <c r="H3033" t="s">
        <v>1181</v>
      </c>
      <c r="I3033" t="s">
        <v>1233</v>
      </c>
      <c r="K3033" t="s">
        <v>25</v>
      </c>
      <c r="L3033" t="s">
        <v>26</v>
      </c>
      <c r="M3033" t="b">
        <v>1</v>
      </c>
      <c r="N3033" t="s">
        <v>6376</v>
      </c>
      <c r="O3033" t="str">
        <f>"227.91077"</f>
        <v>227.91077</v>
      </c>
      <c r="P3033" t="s">
        <v>6546</v>
      </c>
      <c r="Q3033" t="b">
        <v>0</v>
      </c>
      <c r="S3033" t="str">
        <f>"9780310522249"</f>
        <v>9780310522249</v>
      </c>
      <c r="T3033" t="str">
        <f>"9780310588580"</f>
        <v>9780310588580</v>
      </c>
      <c r="U3033" t="b">
        <v>0</v>
      </c>
      <c r="W3033" t="b">
        <v>0</v>
      </c>
    </row>
    <row r="3034" spans="1:23" x14ac:dyDescent="0.3">
      <c r="A3034">
        <v>2026303</v>
      </c>
      <c r="B3034">
        <v>262.92</v>
      </c>
      <c r="C3034" t="s">
        <v>7002</v>
      </c>
      <c r="E3034" t="s">
        <v>49</v>
      </c>
      <c r="F3034" t="s">
        <v>106</v>
      </c>
      <c r="G3034">
        <v>2015</v>
      </c>
      <c r="H3034" t="s">
        <v>6799</v>
      </c>
      <c r="I3034" t="s">
        <v>7003</v>
      </c>
      <c r="K3034" t="s">
        <v>25</v>
      </c>
      <c r="L3034" t="s">
        <v>30</v>
      </c>
      <c r="M3034" t="b">
        <v>1</v>
      </c>
      <c r="N3034" t="s">
        <v>7004</v>
      </c>
      <c r="O3034" t="str">
        <f>"227"</f>
        <v>227</v>
      </c>
      <c r="P3034" t="s">
        <v>7005</v>
      </c>
      <c r="Q3034" t="b">
        <v>0</v>
      </c>
      <c r="T3034" t="str">
        <f>"9780310530107"</f>
        <v>9780310530107</v>
      </c>
      <c r="U3034" t="b">
        <v>0</v>
      </c>
      <c r="W3034" t="b">
        <v>0</v>
      </c>
    </row>
    <row r="3035" spans="1:23" x14ac:dyDescent="0.3">
      <c r="A3035">
        <v>2026302</v>
      </c>
      <c r="B3035">
        <v>358.87</v>
      </c>
      <c r="C3035" t="s">
        <v>7006</v>
      </c>
      <c r="E3035" t="s">
        <v>49</v>
      </c>
      <c r="F3035" t="s">
        <v>106</v>
      </c>
      <c r="G3035">
        <v>2015</v>
      </c>
      <c r="H3035" t="s">
        <v>1181</v>
      </c>
      <c r="I3035" t="s">
        <v>7007</v>
      </c>
      <c r="K3035" t="s">
        <v>25</v>
      </c>
      <c r="L3035" t="s">
        <v>30</v>
      </c>
      <c r="M3035" t="b">
        <v>1</v>
      </c>
      <c r="N3035" t="s">
        <v>7008</v>
      </c>
      <c r="O3035" t="str">
        <f>"226.07"</f>
        <v>226.07</v>
      </c>
      <c r="P3035" t="s">
        <v>7005</v>
      </c>
      <c r="Q3035" t="b">
        <v>0</v>
      </c>
      <c r="T3035" t="str">
        <f>"9780310530077"</f>
        <v>9780310530077</v>
      </c>
      <c r="U3035" t="b">
        <v>0</v>
      </c>
      <c r="W3035" t="b">
        <v>0</v>
      </c>
    </row>
    <row r="3036" spans="1:23" x14ac:dyDescent="0.3">
      <c r="A3036">
        <v>2026301</v>
      </c>
      <c r="B3036">
        <v>401.51</v>
      </c>
      <c r="C3036" t="s">
        <v>7009</v>
      </c>
      <c r="E3036" t="s">
        <v>49</v>
      </c>
      <c r="F3036" t="s">
        <v>106</v>
      </c>
      <c r="G3036">
        <v>2015</v>
      </c>
      <c r="H3036" t="s">
        <v>1181</v>
      </c>
      <c r="I3036" t="s">
        <v>7010</v>
      </c>
      <c r="K3036" t="s">
        <v>25</v>
      </c>
      <c r="L3036" t="s">
        <v>30</v>
      </c>
      <c r="M3036" t="b">
        <v>1</v>
      </c>
      <c r="N3036" t="s">
        <v>7011</v>
      </c>
      <c r="O3036" t="str">
        <f>"227.07"</f>
        <v>227.07</v>
      </c>
      <c r="P3036" t="s">
        <v>7005</v>
      </c>
      <c r="Q3036" t="b">
        <v>0</v>
      </c>
      <c r="T3036" t="str">
        <f>"9780310530091"</f>
        <v>9780310530091</v>
      </c>
      <c r="U3036" t="b">
        <v>0</v>
      </c>
      <c r="W3036" t="b">
        <v>0</v>
      </c>
    </row>
    <row r="3037" spans="1:23" x14ac:dyDescent="0.3">
      <c r="A3037">
        <v>2026300</v>
      </c>
      <c r="B3037">
        <v>206.07</v>
      </c>
      <c r="C3037" t="s">
        <v>7012</v>
      </c>
      <c r="E3037" t="s">
        <v>49</v>
      </c>
      <c r="F3037" t="s">
        <v>106</v>
      </c>
      <c r="G3037">
        <v>2015</v>
      </c>
      <c r="H3037" t="s">
        <v>1181</v>
      </c>
      <c r="I3037" t="s">
        <v>818</v>
      </c>
      <c r="K3037" t="s">
        <v>25</v>
      </c>
      <c r="L3037" t="s">
        <v>30</v>
      </c>
      <c r="M3037" t="b">
        <v>1</v>
      </c>
      <c r="N3037" t="s">
        <v>7013</v>
      </c>
      <c r="O3037" t="str">
        <f>"224.907"</f>
        <v>224.907</v>
      </c>
      <c r="P3037" t="s">
        <v>7005</v>
      </c>
      <c r="Q3037" t="b">
        <v>0</v>
      </c>
      <c r="T3037" t="str">
        <f>"9780310530060"</f>
        <v>9780310530060</v>
      </c>
      <c r="U3037" t="b">
        <v>0</v>
      </c>
      <c r="W3037" t="b">
        <v>0</v>
      </c>
    </row>
    <row r="3038" spans="1:23" x14ac:dyDescent="0.3">
      <c r="A3038">
        <v>2026299</v>
      </c>
      <c r="B3038">
        <v>234.5</v>
      </c>
      <c r="C3038" t="s">
        <v>7014</v>
      </c>
      <c r="E3038" t="s">
        <v>49</v>
      </c>
      <c r="F3038" t="s">
        <v>106</v>
      </c>
      <c r="G3038">
        <v>2015</v>
      </c>
      <c r="H3038" t="s">
        <v>1181</v>
      </c>
      <c r="I3038" t="s">
        <v>7015</v>
      </c>
      <c r="K3038" t="s">
        <v>25</v>
      </c>
      <c r="L3038" t="s">
        <v>30</v>
      </c>
      <c r="M3038" t="b">
        <v>1</v>
      </c>
      <c r="N3038" t="s">
        <v>7016</v>
      </c>
      <c r="O3038" t="str">
        <f>"224"</f>
        <v>224</v>
      </c>
      <c r="P3038" t="s">
        <v>7017</v>
      </c>
      <c r="Q3038" t="b">
        <v>0</v>
      </c>
      <c r="T3038" t="str">
        <f>"9780310530053"</f>
        <v>9780310530053</v>
      </c>
      <c r="U3038" t="b">
        <v>0</v>
      </c>
      <c r="W3038" t="b">
        <v>0</v>
      </c>
    </row>
    <row r="3039" spans="1:23" x14ac:dyDescent="0.3">
      <c r="A3039">
        <v>2026298</v>
      </c>
      <c r="B3039">
        <v>298.45999999999998</v>
      </c>
      <c r="C3039" t="s">
        <v>7018</v>
      </c>
      <c r="E3039" t="s">
        <v>49</v>
      </c>
      <c r="F3039" t="s">
        <v>106</v>
      </c>
      <c r="G3039">
        <v>2015</v>
      </c>
      <c r="H3039" t="s">
        <v>1181</v>
      </c>
      <c r="I3039" t="s">
        <v>7019</v>
      </c>
      <c r="J3039" t="s">
        <v>7020</v>
      </c>
      <c r="K3039" t="s">
        <v>25</v>
      </c>
      <c r="L3039" t="s">
        <v>30</v>
      </c>
      <c r="M3039" t="b">
        <v>1</v>
      </c>
      <c r="N3039" t="s">
        <v>7021</v>
      </c>
      <c r="O3039" t="str">
        <f>"223"</f>
        <v>223</v>
      </c>
      <c r="P3039" t="s">
        <v>7022</v>
      </c>
      <c r="Q3039" t="b">
        <v>0</v>
      </c>
      <c r="T3039" t="str">
        <f>"9780310530046"</f>
        <v>9780310530046</v>
      </c>
      <c r="U3039" t="b">
        <v>0</v>
      </c>
      <c r="W3039" t="b">
        <v>0</v>
      </c>
    </row>
    <row r="3040" spans="1:23" x14ac:dyDescent="0.3">
      <c r="A3040">
        <v>2026297</v>
      </c>
      <c r="B3040">
        <v>405.06</v>
      </c>
      <c r="C3040" t="s">
        <v>7023</v>
      </c>
      <c r="E3040" t="s">
        <v>49</v>
      </c>
      <c r="F3040" t="s">
        <v>106</v>
      </c>
      <c r="G3040">
        <v>2015</v>
      </c>
      <c r="H3040" t="s">
        <v>1181</v>
      </c>
      <c r="I3040" t="s">
        <v>7024</v>
      </c>
      <c r="K3040" t="s">
        <v>25</v>
      </c>
      <c r="L3040" t="s">
        <v>30</v>
      </c>
      <c r="M3040" t="b">
        <v>1</v>
      </c>
      <c r="N3040" t="s">
        <v>7025</v>
      </c>
      <c r="O3040" t="str">
        <f>"222"</f>
        <v>222</v>
      </c>
      <c r="P3040" t="s">
        <v>7005</v>
      </c>
      <c r="Q3040" t="b">
        <v>0</v>
      </c>
      <c r="T3040" t="str">
        <f>"9780310530039"</f>
        <v>9780310530039</v>
      </c>
      <c r="U3040" t="b">
        <v>0</v>
      </c>
      <c r="W3040" t="b">
        <v>0</v>
      </c>
    </row>
    <row r="3041" spans="1:23" x14ac:dyDescent="0.3">
      <c r="A3041">
        <v>2026296</v>
      </c>
      <c r="B3041">
        <v>319.77999999999997</v>
      </c>
      <c r="C3041" t="s">
        <v>7026</v>
      </c>
      <c r="E3041" t="s">
        <v>49</v>
      </c>
      <c r="F3041" t="s">
        <v>106</v>
      </c>
      <c r="G3041">
        <v>2015</v>
      </c>
      <c r="H3041" t="s">
        <v>1181</v>
      </c>
      <c r="I3041" t="s">
        <v>7027</v>
      </c>
      <c r="K3041" t="s">
        <v>25</v>
      </c>
      <c r="L3041" t="s">
        <v>30</v>
      </c>
      <c r="M3041" t="b">
        <v>1</v>
      </c>
      <c r="N3041" t="s">
        <v>7028</v>
      </c>
      <c r="O3041" t="str">
        <f>"222.107"</f>
        <v>222.107</v>
      </c>
      <c r="P3041" t="s">
        <v>7005</v>
      </c>
      <c r="Q3041" t="b">
        <v>0</v>
      </c>
      <c r="T3041" t="str">
        <f>"9780310530022"</f>
        <v>9780310530022</v>
      </c>
      <c r="U3041" t="b">
        <v>0</v>
      </c>
      <c r="W3041" t="b">
        <v>0</v>
      </c>
    </row>
    <row r="3042" spans="1:23" x14ac:dyDescent="0.3">
      <c r="A3042">
        <v>2026294</v>
      </c>
      <c r="B3042">
        <v>155.22</v>
      </c>
      <c r="C3042" t="s">
        <v>7029</v>
      </c>
      <c r="E3042" t="s">
        <v>49</v>
      </c>
      <c r="F3042" t="s">
        <v>106</v>
      </c>
      <c r="G3042">
        <v>2018</v>
      </c>
      <c r="H3042" t="s">
        <v>927</v>
      </c>
      <c r="I3042" t="s">
        <v>7030</v>
      </c>
      <c r="K3042" t="s">
        <v>25</v>
      </c>
      <c r="L3042" t="s">
        <v>26</v>
      </c>
      <c r="M3042" t="b">
        <v>1</v>
      </c>
      <c r="N3042" t="s">
        <v>7031</v>
      </c>
      <c r="O3042" t="str">
        <f>"223.707"</f>
        <v>223.707</v>
      </c>
      <c r="P3042" t="s">
        <v>6546</v>
      </c>
      <c r="Q3042" t="b">
        <v>0</v>
      </c>
      <c r="S3042" t="str">
        <f>"9780310522065"</f>
        <v>9780310522065</v>
      </c>
      <c r="T3042" t="str">
        <f>"9780310588542"</f>
        <v>9780310588542</v>
      </c>
      <c r="U3042" t="b">
        <v>0</v>
      </c>
      <c r="W3042" t="b">
        <v>0</v>
      </c>
    </row>
    <row r="3043" spans="1:23" x14ac:dyDescent="0.3">
      <c r="A3043">
        <v>2026292</v>
      </c>
      <c r="B3043">
        <v>148.32</v>
      </c>
      <c r="C3043" t="s">
        <v>7032</v>
      </c>
      <c r="E3043" t="s">
        <v>49</v>
      </c>
      <c r="F3043" t="s">
        <v>44</v>
      </c>
      <c r="G3043">
        <v>2014</v>
      </c>
      <c r="H3043" t="s">
        <v>7033</v>
      </c>
      <c r="I3043" t="s">
        <v>7034</v>
      </c>
      <c r="J3043" t="s">
        <v>895</v>
      </c>
      <c r="K3043" t="s">
        <v>25</v>
      </c>
      <c r="L3043" t="s">
        <v>26</v>
      </c>
      <c r="M3043" t="b">
        <v>1</v>
      </c>
      <c r="N3043" t="s">
        <v>7035</v>
      </c>
      <c r="O3043" t="str">
        <f>"220.91"</f>
        <v>220.91</v>
      </c>
      <c r="Q3043" t="b">
        <v>0</v>
      </c>
      <c r="S3043" t="str">
        <f>"9780310270508"</f>
        <v>9780310270508</v>
      </c>
      <c r="T3043" t="str">
        <f>"9780310521266"</f>
        <v>9780310521266</v>
      </c>
      <c r="U3043" t="b">
        <v>0</v>
      </c>
      <c r="V3043" t="s">
        <v>7036</v>
      </c>
      <c r="W3043" t="b">
        <v>0</v>
      </c>
    </row>
    <row r="3044" spans="1:23" x14ac:dyDescent="0.3">
      <c r="A3044">
        <v>2026291</v>
      </c>
      <c r="B3044">
        <v>65.52</v>
      </c>
      <c r="C3044" t="s">
        <v>7037</v>
      </c>
      <c r="E3044" t="s">
        <v>49</v>
      </c>
      <c r="F3044" t="s">
        <v>106</v>
      </c>
      <c r="G3044">
        <v>2019</v>
      </c>
      <c r="H3044" t="s">
        <v>881</v>
      </c>
      <c r="I3044" t="s">
        <v>7038</v>
      </c>
      <c r="K3044" t="s">
        <v>25</v>
      </c>
      <c r="L3044" t="s">
        <v>26</v>
      </c>
      <c r="M3044" t="b">
        <v>1</v>
      </c>
      <c r="N3044" t="s">
        <v>7039</v>
      </c>
      <c r="O3044" t="str">
        <f>"220.1/5/0202"</f>
        <v>220.1/5/0202</v>
      </c>
      <c r="P3044" t="s">
        <v>6823</v>
      </c>
      <c r="Q3044" t="b">
        <v>0</v>
      </c>
      <c r="S3044" t="str">
        <f>"9780310218968"</f>
        <v>9780310218968</v>
      </c>
      <c r="T3044" t="str">
        <f>"9780310100294"</f>
        <v>9780310100294</v>
      </c>
      <c r="U3044" t="b">
        <v>0</v>
      </c>
      <c r="W3044" t="b">
        <v>0</v>
      </c>
    </row>
    <row r="3045" spans="1:23" x14ac:dyDescent="0.3">
      <c r="A3045">
        <v>2026290</v>
      </c>
      <c r="B3045">
        <v>103.47</v>
      </c>
      <c r="C3045" t="s">
        <v>7040</v>
      </c>
      <c r="E3045" t="s">
        <v>49</v>
      </c>
      <c r="F3045" t="s">
        <v>106</v>
      </c>
      <c r="G3045">
        <v>2007</v>
      </c>
      <c r="H3045" t="s">
        <v>893</v>
      </c>
      <c r="I3045" t="s">
        <v>7041</v>
      </c>
      <c r="J3045" t="s">
        <v>7042</v>
      </c>
      <c r="K3045" t="s">
        <v>25</v>
      </c>
      <c r="L3045" t="s">
        <v>26</v>
      </c>
      <c r="M3045" t="b">
        <v>1</v>
      </c>
      <c r="N3045" t="s">
        <v>7043</v>
      </c>
      <c r="O3045" t="str">
        <f>"492.4/82"</f>
        <v>492.4/82</v>
      </c>
      <c r="P3045" t="s">
        <v>6926</v>
      </c>
      <c r="Q3045" t="b">
        <v>0</v>
      </c>
      <c r="S3045" t="str">
        <f>"9780310275091"</f>
        <v>9780310275091</v>
      </c>
      <c r="T3045" t="str">
        <f>"9780310100324"</f>
        <v>9780310100324</v>
      </c>
      <c r="U3045" t="b">
        <v>0</v>
      </c>
      <c r="W3045" t="b">
        <v>0</v>
      </c>
    </row>
    <row r="3046" spans="1:23" x14ac:dyDescent="0.3">
      <c r="A3046">
        <v>2026289</v>
      </c>
      <c r="B3046">
        <v>63.93</v>
      </c>
      <c r="C3046" t="s">
        <v>6529</v>
      </c>
      <c r="E3046" t="s">
        <v>49</v>
      </c>
      <c r="F3046" t="s">
        <v>106</v>
      </c>
      <c r="G3046">
        <v>2015</v>
      </c>
      <c r="H3046" t="s">
        <v>893</v>
      </c>
      <c r="I3046" t="s">
        <v>7044</v>
      </c>
      <c r="J3046" t="s">
        <v>895</v>
      </c>
      <c r="K3046" t="s">
        <v>25</v>
      </c>
      <c r="L3046" t="s">
        <v>30</v>
      </c>
      <c r="M3046" t="b">
        <v>1</v>
      </c>
      <c r="N3046" t="s">
        <v>1145</v>
      </c>
      <c r="O3046" t="str">
        <f>"487.4"</f>
        <v>487.4</v>
      </c>
      <c r="Q3046" t="b">
        <v>0</v>
      </c>
      <c r="S3046" t="str">
        <f>"9780310287674"</f>
        <v>9780310287674</v>
      </c>
      <c r="T3046" t="str">
        <f>"9780310521433"</f>
        <v>9780310521433</v>
      </c>
      <c r="U3046" t="b">
        <v>0</v>
      </c>
      <c r="W3046" t="b">
        <v>0</v>
      </c>
    </row>
    <row r="3047" spans="1:23" x14ac:dyDescent="0.3">
      <c r="A3047">
        <v>2026288</v>
      </c>
      <c r="B3047">
        <v>68.97</v>
      </c>
      <c r="C3047" t="s">
        <v>7045</v>
      </c>
      <c r="E3047" t="s">
        <v>49</v>
      </c>
      <c r="F3047" t="s">
        <v>44</v>
      </c>
      <c r="G3047">
        <v>2013</v>
      </c>
      <c r="H3047" t="s">
        <v>7033</v>
      </c>
      <c r="I3047" t="s">
        <v>7046</v>
      </c>
      <c r="K3047" t="s">
        <v>25</v>
      </c>
      <c r="L3047" t="s">
        <v>30</v>
      </c>
      <c r="M3047" t="b">
        <v>1</v>
      </c>
      <c r="N3047" t="s">
        <v>7035</v>
      </c>
      <c r="O3047" t="str">
        <f>"220.9/10223"</f>
        <v>220.9/10223</v>
      </c>
      <c r="Q3047" t="b">
        <v>0</v>
      </c>
      <c r="S3047" t="str">
        <f>"9780310318576"</f>
        <v>9780310318576</v>
      </c>
      <c r="T3047" t="str">
        <f>"9780310518112"</f>
        <v>9780310518112</v>
      </c>
      <c r="U3047" t="b">
        <v>0</v>
      </c>
      <c r="W3047" t="b">
        <v>0</v>
      </c>
    </row>
    <row r="3048" spans="1:23" x14ac:dyDescent="0.3">
      <c r="A3048">
        <v>2026287</v>
      </c>
      <c r="B3048">
        <v>127.89</v>
      </c>
      <c r="C3048" t="s">
        <v>7047</v>
      </c>
      <c r="D3048" t="s">
        <v>7048</v>
      </c>
      <c r="E3048" t="s">
        <v>49</v>
      </c>
      <c r="F3048" t="s">
        <v>106</v>
      </c>
      <c r="G3048">
        <v>2013</v>
      </c>
      <c r="H3048" t="s">
        <v>3422</v>
      </c>
      <c r="I3048" t="s">
        <v>7049</v>
      </c>
      <c r="K3048" t="s">
        <v>25</v>
      </c>
      <c r="L3048" t="s">
        <v>26</v>
      </c>
      <c r="M3048" t="b">
        <v>1</v>
      </c>
      <c r="N3048" t="s">
        <v>7050</v>
      </c>
      <c r="O3048" t="str">
        <f>"221.6/1"</f>
        <v>221.6/1</v>
      </c>
      <c r="Q3048" t="b">
        <v>0</v>
      </c>
      <c r="T3048" t="str">
        <f>"9780310498223"</f>
        <v>9780310498223</v>
      </c>
      <c r="U3048" t="b">
        <v>0</v>
      </c>
      <c r="V3048" t="s">
        <v>870</v>
      </c>
      <c r="W3048" t="b">
        <v>0</v>
      </c>
    </row>
    <row r="3049" spans="1:23" x14ac:dyDescent="0.3">
      <c r="A3049">
        <v>2026286</v>
      </c>
      <c r="B3049">
        <v>189.72</v>
      </c>
      <c r="C3049" t="s">
        <v>7051</v>
      </c>
      <c r="D3049" t="s">
        <v>7052</v>
      </c>
      <c r="E3049" t="s">
        <v>49</v>
      </c>
      <c r="F3049" t="s">
        <v>106</v>
      </c>
      <c r="G3049">
        <v>2013</v>
      </c>
      <c r="H3049" t="s">
        <v>6334</v>
      </c>
      <c r="I3049" t="s">
        <v>6587</v>
      </c>
      <c r="J3049" t="s">
        <v>7053</v>
      </c>
      <c r="K3049" t="s">
        <v>25</v>
      </c>
      <c r="L3049" t="s">
        <v>26</v>
      </c>
      <c r="M3049" t="b">
        <v>1</v>
      </c>
      <c r="N3049" t="s">
        <v>7054</v>
      </c>
      <c r="O3049" t="str">
        <f>"270"</f>
        <v>270</v>
      </c>
      <c r="Q3049" t="b">
        <v>0</v>
      </c>
      <c r="S3049" t="str">
        <f>"9780310516569"</f>
        <v>9780310516569</v>
      </c>
      <c r="T3049" t="str">
        <f>"9780310516576"</f>
        <v>9780310516576</v>
      </c>
      <c r="U3049" t="b">
        <v>0</v>
      </c>
      <c r="W3049" t="b">
        <v>0</v>
      </c>
    </row>
    <row r="3050" spans="1:23" x14ac:dyDescent="0.3">
      <c r="A3050">
        <v>2026285</v>
      </c>
      <c r="B3050">
        <v>206.97</v>
      </c>
      <c r="C3050" t="s">
        <v>7055</v>
      </c>
      <c r="D3050" t="s">
        <v>6345</v>
      </c>
      <c r="E3050" t="s">
        <v>49</v>
      </c>
      <c r="F3050" t="s">
        <v>106</v>
      </c>
      <c r="G3050">
        <v>2013</v>
      </c>
      <c r="H3050" t="s">
        <v>115</v>
      </c>
      <c r="I3050" t="s">
        <v>7056</v>
      </c>
      <c r="J3050" t="s">
        <v>6347</v>
      </c>
      <c r="K3050" t="s">
        <v>25</v>
      </c>
      <c r="L3050" t="s">
        <v>30</v>
      </c>
      <c r="M3050" t="b">
        <v>1</v>
      </c>
      <c r="N3050" t="s">
        <v>760</v>
      </c>
      <c r="O3050" t="str">
        <f>"230/.04624"</f>
        <v>230/.04624</v>
      </c>
      <c r="Q3050" t="b">
        <v>0</v>
      </c>
      <c r="S3050" t="str">
        <f>"9780310494416"</f>
        <v>9780310494416</v>
      </c>
      <c r="T3050" t="str">
        <f>"9780310494423"</f>
        <v>9780310494423</v>
      </c>
      <c r="U3050" t="b">
        <v>0</v>
      </c>
      <c r="W3050" t="b">
        <v>0</v>
      </c>
    </row>
    <row r="3051" spans="1:23" x14ac:dyDescent="0.3">
      <c r="A3051">
        <v>2026284</v>
      </c>
      <c r="B3051">
        <v>142.1</v>
      </c>
      <c r="C3051" t="s">
        <v>7057</v>
      </c>
      <c r="D3051" t="s">
        <v>7052</v>
      </c>
      <c r="E3051" t="s">
        <v>49</v>
      </c>
      <c r="F3051" t="s">
        <v>106</v>
      </c>
      <c r="G3051">
        <v>2013</v>
      </c>
      <c r="H3051" t="s">
        <v>6334</v>
      </c>
      <c r="I3051" t="s">
        <v>7058</v>
      </c>
      <c r="J3051" t="s">
        <v>6336</v>
      </c>
      <c r="K3051" t="s">
        <v>25</v>
      </c>
      <c r="L3051" t="s">
        <v>26</v>
      </c>
      <c r="M3051" t="b">
        <v>1</v>
      </c>
      <c r="N3051" t="s">
        <v>7059</v>
      </c>
      <c r="O3051" t="str">
        <f>"270"</f>
        <v>270</v>
      </c>
      <c r="P3051" t="s">
        <v>7060</v>
      </c>
      <c r="Q3051" t="b">
        <v>0</v>
      </c>
      <c r="S3051" t="str">
        <f>"9780310257431"</f>
        <v>9780310257431</v>
      </c>
      <c r="T3051" t="str">
        <f>"9780310515142"</f>
        <v>9780310515142</v>
      </c>
      <c r="U3051" t="b">
        <v>0</v>
      </c>
      <c r="W3051" t="b">
        <v>0</v>
      </c>
    </row>
    <row r="3052" spans="1:23" x14ac:dyDescent="0.3">
      <c r="A3052">
        <v>2026283</v>
      </c>
      <c r="B3052">
        <v>155.22</v>
      </c>
      <c r="C3052" t="s">
        <v>7061</v>
      </c>
      <c r="D3052" t="s">
        <v>7062</v>
      </c>
      <c r="E3052" t="s">
        <v>49</v>
      </c>
      <c r="F3052" t="s">
        <v>106</v>
      </c>
      <c r="G3052">
        <v>2012</v>
      </c>
      <c r="H3052" t="s">
        <v>115</v>
      </c>
      <c r="I3052" t="s">
        <v>7063</v>
      </c>
      <c r="J3052" t="s">
        <v>6731</v>
      </c>
      <c r="K3052" t="s">
        <v>25</v>
      </c>
      <c r="L3052" t="s">
        <v>30</v>
      </c>
      <c r="M3052" t="b">
        <v>1</v>
      </c>
      <c r="N3052" t="s">
        <v>1026</v>
      </c>
      <c r="O3052" t="str">
        <f>"230/.42"</f>
        <v>230/.42</v>
      </c>
      <c r="Q3052" t="b">
        <v>0</v>
      </c>
      <c r="S3052" t="str">
        <f>"9780310330646"</f>
        <v>9780310330646</v>
      </c>
      <c r="T3052" t="str">
        <f>"9780310555674"</f>
        <v>9780310555674</v>
      </c>
      <c r="U3052" t="b">
        <v>0</v>
      </c>
      <c r="W3052" t="b">
        <v>0</v>
      </c>
    </row>
    <row r="3053" spans="1:23" x14ac:dyDescent="0.3">
      <c r="A3053">
        <v>2026282</v>
      </c>
      <c r="B3053">
        <v>189.72</v>
      </c>
      <c r="C3053" t="s">
        <v>7064</v>
      </c>
      <c r="D3053" t="s">
        <v>7065</v>
      </c>
      <c r="E3053" t="s">
        <v>49</v>
      </c>
      <c r="F3053" t="s">
        <v>106</v>
      </c>
      <c r="G3053">
        <v>2012</v>
      </c>
      <c r="H3053" t="s">
        <v>736</v>
      </c>
      <c r="I3053" t="s">
        <v>6482</v>
      </c>
      <c r="J3053" t="s">
        <v>7066</v>
      </c>
      <c r="K3053" t="s">
        <v>25</v>
      </c>
      <c r="L3053" t="s">
        <v>30</v>
      </c>
      <c r="M3053" t="b">
        <v>1</v>
      </c>
      <c r="N3053" t="s">
        <v>7067</v>
      </c>
      <c r="O3053" t="str">
        <f>"174/.4"</f>
        <v>174/.4</v>
      </c>
      <c r="Q3053" t="b">
        <v>0</v>
      </c>
      <c r="S3053" t="str">
        <f>"9780310291107"</f>
        <v>9780310291107</v>
      </c>
      <c r="T3053" t="str">
        <f>"9780310493853"</f>
        <v>9780310493853</v>
      </c>
      <c r="U3053" t="b">
        <v>0</v>
      </c>
      <c r="V3053" t="s">
        <v>6501</v>
      </c>
      <c r="W3053" t="b">
        <v>0</v>
      </c>
    </row>
    <row r="3054" spans="1:23" x14ac:dyDescent="0.3">
      <c r="A3054">
        <v>2026281</v>
      </c>
      <c r="B3054">
        <v>120.72</v>
      </c>
      <c r="C3054" t="s">
        <v>7068</v>
      </c>
      <c r="D3054" t="s">
        <v>6273</v>
      </c>
      <c r="E3054" t="s">
        <v>49</v>
      </c>
      <c r="F3054" t="s">
        <v>106</v>
      </c>
      <c r="G3054">
        <v>2012</v>
      </c>
      <c r="H3054" t="s">
        <v>58</v>
      </c>
      <c r="K3054" t="s">
        <v>25</v>
      </c>
      <c r="L3054" t="s">
        <v>30</v>
      </c>
      <c r="M3054" t="b">
        <v>1</v>
      </c>
      <c r="N3054" t="s">
        <v>884</v>
      </c>
      <c r="Q3054" t="b">
        <v>0</v>
      </c>
      <c r="S3054" t="str">
        <f>"9780310292104"</f>
        <v>9780310292104</v>
      </c>
      <c r="T3054" t="str">
        <f>"9780310491422"</f>
        <v>9780310491422</v>
      </c>
      <c r="U3054" t="b">
        <v>0</v>
      </c>
      <c r="W3054" t="b">
        <v>0</v>
      </c>
    </row>
    <row r="3055" spans="1:23" x14ac:dyDescent="0.3">
      <c r="A3055">
        <v>2026280</v>
      </c>
      <c r="B3055">
        <v>28.39</v>
      </c>
      <c r="C3055" t="s">
        <v>7069</v>
      </c>
      <c r="E3055" t="s">
        <v>49</v>
      </c>
      <c r="F3055" t="s">
        <v>44</v>
      </c>
      <c r="G3055">
        <v>2009</v>
      </c>
      <c r="H3055" t="s">
        <v>531</v>
      </c>
      <c r="K3055" t="s">
        <v>25</v>
      </c>
      <c r="L3055" t="s">
        <v>30</v>
      </c>
      <c r="M3055" t="b">
        <v>1</v>
      </c>
      <c r="N3055" t="s">
        <v>5773</v>
      </c>
      <c r="Q3055" t="b">
        <v>0</v>
      </c>
      <c r="T3055" t="str">
        <f>"9780310861720"</f>
        <v>9780310861720</v>
      </c>
      <c r="U3055" t="b">
        <v>0</v>
      </c>
      <c r="W3055" t="b">
        <v>0</v>
      </c>
    </row>
    <row r="3056" spans="1:23" x14ac:dyDescent="0.3">
      <c r="A3056">
        <v>2026279</v>
      </c>
      <c r="B3056">
        <v>155.22</v>
      </c>
      <c r="C3056" t="s">
        <v>7070</v>
      </c>
      <c r="D3056" t="s">
        <v>867</v>
      </c>
      <c r="E3056" t="s">
        <v>49</v>
      </c>
      <c r="F3056" t="s">
        <v>106</v>
      </c>
      <c r="G3056">
        <v>2014</v>
      </c>
      <c r="H3056" t="s">
        <v>115</v>
      </c>
      <c r="I3056" t="s">
        <v>7071</v>
      </c>
      <c r="J3056" t="s">
        <v>7072</v>
      </c>
      <c r="K3056" t="s">
        <v>25</v>
      </c>
      <c r="L3056" t="s">
        <v>26</v>
      </c>
      <c r="M3056" t="b">
        <v>1</v>
      </c>
      <c r="N3056" t="s">
        <v>946</v>
      </c>
      <c r="O3056" t="str">
        <f>"230"</f>
        <v>230</v>
      </c>
      <c r="Q3056" t="b">
        <v>0</v>
      </c>
      <c r="S3056" t="str">
        <f>"9780310222330"</f>
        <v>9780310222330</v>
      </c>
      <c r="T3056" t="str">
        <f>"9780310515876"</f>
        <v>9780310515876</v>
      </c>
      <c r="U3056" t="b">
        <v>0</v>
      </c>
      <c r="W3056" t="b">
        <v>0</v>
      </c>
    </row>
    <row r="3057" spans="1:23" x14ac:dyDescent="0.3">
      <c r="A3057">
        <v>2026278</v>
      </c>
      <c r="B3057">
        <v>60.37</v>
      </c>
      <c r="C3057" t="s">
        <v>7073</v>
      </c>
      <c r="D3057" t="s">
        <v>854</v>
      </c>
      <c r="E3057" t="s">
        <v>49</v>
      </c>
      <c r="F3057" t="s">
        <v>44</v>
      </c>
      <c r="G3057">
        <v>2009</v>
      </c>
      <c r="H3057" t="s">
        <v>732</v>
      </c>
      <c r="K3057" t="s">
        <v>25</v>
      </c>
      <c r="L3057" t="s">
        <v>30</v>
      </c>
      <c r="M3057" t="b">
        <v>1</v>
      </c>
      <c r="N3057" t="s">
        <v>855</v>
      </c>
      <c r="Q3057" t="b">
        <v>0</v>
      </c>
      <c r="T3057" t="str">
        <f>"9780310867104"</f>
        <v>9780310867104</v>
      </c>
      <c r="U3057" t="b">
        <v>0</v>
      </c>
      <c r="W3057" t="b">
        <v>0</v>
      </c>
    </row>
    <row r="3058" spans="1:23" x14ac:dyDescent="0.3">
      <c r="A3058">
        <v>2026277</v>
      </c>
      <c r="B3058">
        <v>206.97</v>
      </c>
      <c r="C3058" t="s">
        <v>7074</v>
      </c>
      <c r="D3058" t="s">
        <v>7075</v>
      </c>
      <c r="E3058" t="s">
        <v>49</v>
      </c>
      <c r="F3058" t="s">
        <v>106</v>
      </c>
      <c r="G3058">
        <v>2010</v>
      </c>
      <c r="H3058" t="s">
        <v>5781</v>
      </c>
      <c r="I3058" t="s">
        <v>7076</v>
      </c>
      <c r="K3058" t="s">
        <v>25</v>
      </c>
      <c r="L3058" t="s">
        <v>30</v>
      </c>
      <c r="M3058" t="b">
        <v>1</v>
      </c>
      <c r="N3058" t="s">
        <v>7077</v>
      </c>
      <c r="O3058" t="str">
        <f>"222.107"</f>
        <v>222.107</v>
      </c>
      <c r="Q3058" t="b">
        <v>0</v>
      </c>
      <c r="S3058" t="str">
        <f>"9780310248613"</f>
        <v>9780310248613</v>
      </c>
      <c r="T3058" t="str">
        <f>"9780310874034"</f>
        <v>9780310874034</v>
      </c>
      <c r="U3058" t="b">
        <v>0</v>
      </c>
      <c r="V3058" t="s">
        <v>1218</v>
      </c>
      <c r="W3058" t="b">
        <v>0</v>
      </c>
    </row>
    <row r="3059" spans="1:23" x14ac:dyDescent="0.3">
      <c r="A3059">
        <v>2026276</v>
      </c>
      <c r="B3059">
        <v>142.1</v>
      </c>
      <c r="C3059" t="s">
        <v>7078</v>
      </c>
      <c r="D3059" t="s">
        <v>7079</v>
      </c>
      <c r="E3059" t="s">
        <v>49</v>
      </c>
      <c r="F3059" t="s">
        <v>106</v>
      </c>
      <c r="G3059">
        <v>2009</v>
      </c>
      <c r="H3059" t="s">
        <v>57</v>
      </c>
      <c r="I3059" t="s">
        <v>6255</v>
      </c>
      <c r="K3059" t="s">
        <v>25</v>
      </c>
      <c r="L3059" t="s">
        <v>30</v>
      </c>
      <c r="M3059" t="b">
        <v>1</v>
      </c>
      <c r="N3059" t="s">
        <v>7080</v>
      </c>
      <c r="O3059" t="str">
        <f>"225.6/1"</f>
        <v>225.6/1</v>
      </c>
      <c r="Q3059" t="b">
        <v>0</v>
      </c>
      <c r="S3059" t="str">
        <f>"9780310244950"</f>
        <v>9780310244950</v>
      </c>
      <c r="T3059" t="str">
        <f>"9780310590613"</f>
        <v>9780310590613</v>
      </c>
      <c r="U3059" t="b">
        <v>0</v>
      </c>
      <c r="W3059" t="b">
        <v>0</v>
      </c>
    </row>
    <row r="3060" spans="1:23" x14ac:dyDescent="0.3">
      <c r="A3060">
        <v>2026275</v>
      </c>
      <c r="B3060">
        <v>172.47</v>
      </c>
      <c r="C3060" t="s">
        <v>7081</v>
      </c>
      <c r="D3060" t="s">
        <v>7082</v>
      </c>
      <c r="E3060" t="s">
        <v>49</v>
      </c>
      <c r="F3060" t="s">
        <v>106</v>
      </c>
      <c r="G3060">
        <v>2010</v>
      </c>
      <c r="H3060" t="s">
        <v>5755</v>
      </c>
      <c r="I3060" t="s">
        <v>7083</v>
      </c>
      <c r="K3060" t="s">
        <v>25</v>
      </c>
      <c r="L3060" t="s">
        <v>30</v>
      </c>
      <c r="M3060" t="b">
        <v>1</v>
      </c>
      <c r="N3060" t="s">
        <v>7084</v>
      </c>
      <c r="O3060" t="str">
        <f>"224/.066"</f>
        <v>224/.066</v>
      </c>
      <c r="Q3060" t="b">
        <v>0</v>
      </c>
      <c r="S3060" t="str">
        <f>"9780310271529"</f>
        <v>9780310271529</v>
      </c>
      <c r="T3060" t="str">
        <f>"9780310586968"</f>
        <v>9780310586968</v>
      </c>
      <c r="U3060" t="b">
        <v>0</v>
      </c>
      <c r="W3060" t="b">
        <v>0</v>
      </c>
    </row>
    <row r="3061" spans="1:23" x14ac:dyDescent="0.3">
      <c r="A3061">
        <v>2026273</v>
      </c>
      <c r="B3061">
        <v>206.97</v>
      </c>
      <c r="C3061" t="s">
        <v>7085</v>
      </c>
      <c r="D3061" t="s">
        <v>7086</v>
      </c>
      <c r="E3061" t="s">
        <v>49</v>
      </c>
      <c r="F3061" t="s">
        <v>106</v>
      </c>
      <c r="G3061">
        <v>2011</v>
      </c>
      <c r="H3061" t="s">
        <v>6285</v>
      </c>
      <c r="I3061" t="s">
        <v>7087</v>
      </c>
      <c r="K3061" t="s">
        <v>25</v>
      </c>
      <c r="L3061" t="s">
        <v>30</v>
      </c>
      <c r="M3061" t="b">
        <v>1</v>
      </c>
      <c r="N3061" t="s">
        <v>7088</v>
      </c>
      <c r="O3061" t="str">
        <f>"227/.061"</f>
        <v>227/.061</v>
      </c>
      <c r="Q3061" t="b">
        <v>0</v>
      </c>
      <c r="S3061" t="str">
        <f>"9780310267386"</f>
        <v>9780310267386</v>
      </c>
      <c r="T3061" t="str">
        <f>"9780310494799"</f>
        <v>9780310494799</v>
      </c>
      <c r="U3061" t="b">
        <v>0</v>
      </c>
      <c r="W3061" t="b">
        <v>0</v>
      </c>
    </row>
    <row r="3062" spans="1:23" x14ac:dyDescent="0.3">
      <c r="A3062">
        <v>2026272</v>
      </c>
      <c r="B3062">
        <v>79.319999999999993</v>
      </c>
      <c r="C3062" t="s">
        <v>7089</v>
      </c>
      <c r="D3062" t="s">
        <v>7090</v>
      </c>
      <c r="E3062" t="s">
        <v>49</v>
      </c>
      <c r="F3062" t="s">
        <v>106</v>
      </c>
      <c r="G3062">
        <v>2009</v>
      </c>
      <c r="H3062" t="s">
        <v>55</v>
      </c>
      <c r="I3062" t="s">
        <v>7091</v>
      </c>
      <c r="J3062" t="s">
        <v>7092</v>
      </c>
      <c r="K3062" t="s">
        <v>25</v>
      </c>
      <c r="L3062" t="s">
        <v>26</v>
      </c>
      <c r="M3062" t="b">
        <v>1</v>
      </c>
      <c r="N3062" t="s">
        <v>7093</v>
      </c>
      <c r="O3062" t="str">
        <f>"220.6/1"</f>
        <v>220.6/1</v>
      </c>
      <c r="Q3062" t="b">
        <v>0</v>
      </c>
      <c r="S3062" t="str">
        <f>"9780310518082"</f>
        <v>9780310518082</v>
      </c>
      <c r="T3062" t="str">
        <f>"9780310853640"</f>
        <v>9780310853640</v>
      </c>
      <c r="U3062" t="b">
        <v>0</v>
      </c>
      <c r="W3062" t="b">
        <v>0</v>
      </c>
    </row>
    <row r="3063" spans="1:23" x14ac:dyDescent="0.3">
      <c r="A3063">
        <v>2026271</v>
      </c>
      <c r="B3063">
        <v>113.82</v>
      </c>
      <c r="C3063" t="s">
        <v>7094</v>
      </c>
      <c r="D3063" t="s">
        <v>7095</v>
      </c>
      <c r="E3063" t="s">
        <v>49</v>
      </c>
      <c r="F3063" t="s">
        <v>106</v>
      </c>
      <c r="G3063">
        <v>2017</v>
      </c>
      <c r="H3063" t="s">
        <v>893</v>
      </c>
      <c r="I3063" t="s">
        <v>7096</v>
      </c>
      <c r="J3063" t="s">
        <v>7097</v>
      </c>
      <c r="K3063" t="s">
        <v>25</v>
      </c>
      <c r="L3063" t="s">
        <v>30</v>
      </c>
      <c r="M3063" t="b">
        <v>1</v>
      </c>
      <c r="N3063" t="s">
        <v>7098</v>
      </c>
      <c r="O3063" t="str">
        <f>"492.4"</f>
        <v>492.4</v>
      </c>
      <c r="Q3063" t="b">
        <v>0</v>
      </c>
      <c r="S3063" t="str">
        <f>"9780310277095"</f>
        <v>9780310277095</v>
      </c>
      <c r="T3063" t="str">
        <f>"9780310590590"</f>
        <v>9780310590590</v>
      </c>
      <c r="U3063" t="b">
        <v>0</v>
      </c>
      <c r="V3063" t="s">
        <v>6095</v>
      </c>
      <c r="W3063" t="b">
        <v>0</v>
      </c>
    </row>
    <row r="3064" spans="1:23" x14ac:dyDescent="0.3">
      <c r="A3064">
        <v>2026270</v>
      </c>
      <c r="B3064">
        <v>35.5</v>
      </c>
      <c r="C3064" t="s">
        <v>7099</v>
      </c>
      <c r="E3064" t="s">
        <v>49</v>
      </c>
      <c r="F3064" t="s">
        <v>44</v>
      </c>
      <c r="G3064">
        <v>2009</v>
      </c>
      <c r="H3064" t="s">
        <v>168</v>
      </c>
      <c r="K3064" t="s">
        <v>25</v>
      </c>
      <c r="L3064" t="s">
        <v>30</v>
      </c>
      <c r="M3064" t="b">
        <v>1</v>
      </c>
      <c r="N3064" t="s">
        <v>5773</v>
      </c>
      <c r="Q3064" t="b">
        <v>0</v>
      </c>
      <c r="T3064" t="str">
        <f>"9780310861867"</f>
        <v>9780310861867</v>
      </c>
      <c r="U3064" t="b">
        <v>0</v>
      </c>
      <c r="W3064" t="b">
        <v>0</v>
      </c>
    </row>
    <row r="3065" spans="1:23" x14ac:dyDescent="0.3">
      <c r="A3065">
        <v>2026269</v>
      </c>
      <c r="B3065">
        <v>79.319999999999993</v>
      </c>
      <c r="C3065" t="s">
        <v>7100</v>
      </c>
      <c r="D3065" t="s">
        <v>7101</v>
      </c>
      <c r="E3065" t="s">
        <v>49</v>
      </c>
      <c r="F3065" t="s">
        <v>106</v>
      </c>
      <c r="G3065">
        <v>2011</v>
      </c>
      <c r="H3065" t="s">
        <v>893</v>
      </c>
      <c r="I3065" t="s">
        <v>7102</v>
      </c>
      <c r="J3065" t="s">
        <v>6584</v>
      </c>
      <c r="K3065" t="s">
        <v>25</v>
      </c>
      <c r="L3065" t="s">
        <v>30</v>
      </c>
      <c r="M3065" t="b">
        <v>1</v>
      </c>
      <c r="N3065" t="s">
        <v>7103</v>
      </c>
      <c r="O3065" t="str">
        <f>"487.4"</f>
        <v>487.4</v>
      </c>
      <c r="Q3065" t="b">
        <v>0</v>
      </c>
      <c r="S3065" t="str">
        <f>"9780310273899"</f>
        <v>9780310273899</v>
      </c>
      <c r="T3065" t="str">
        <f>"9780310874270"</f>
        <v>9780310874270</v>
      </c>
      <c r="U3065" t="b">
        <v>0</v>
      </c>
      <c r="V3065" t="s">
        <v>7104</v>
      </c>
      <c r="W3065" t="b">
        <v>0</v>
      </c>
    </row>
    <row r="3066" spans="1:23" x14ac:dyDescent="0.3">
      <c r="A3066">
        <v>2001231</v>
      </c>
      <c r="B3066">
        <v>7.07</v>
      </c>
      <c r="C3066" t="s">
        <v>7105</v>
      </c>
      <c r="D3066" t="s">
        <v>6489</v>
      </c>
      <c r="E3066" t="s">
        <v>49</v>
      </c>
      <c r="F3066" t="s">
        <v>106</v>
      </c>
      <c r="G3066">
        <v>2012</v>
      </c>
      <c r="H3066" t="s">
        <v>3423</v>
      </c>
      <c r="K3066" t="s">
        <v>25</v>
      </c>
      <c r="L3066" t="s">
        <v>30</v>
      </c>
      <c r="M3066" t="b">
        <v>1</v>
      </c>
      <c r="N3066" t="s">
        <v>7106</v>
      </c>
      <c r="Q3066" t="b">
        <v>0</v>
      </c>
      <c r="T3066" t="str">
        <f>"9780310496250"</f>
        <v>9780310496250</v>
      </c>
      <c r="U3066" t="b">
        <v>0</v>
      </c>
      <c r="W3066" t="b">
        <v>0</v>
      </c>
    </row>
    <row r="3067" spans="1:23" x14ac:dyDescent="0.3">
      <c r="A3067">
        <v>2001230</v>
      </c>
      <c r="B3067">
        <v>7.07</v>
      </c>
      <c r="C3067" t="s">
        <v>7107</v>
      </c>
      <c r="D3067" t="s">
        <v>6489</v>
      </c>
      <c r="E3067" t="s">
        <v>49</v>
      </c>
      <c r="F3067" t="s">
        <v>106</v>
      </c>
      <c r="G3067">
        <v>2012</v>
      </c>
      <c r="H3067" t="s">
        <v>3423</v>
      </c>
      <c r="K3067" t="s">
        <v>25</v>
      </c>
      <c r="L3067" t="s">
        <v>30</v>
      </c>
      <c r="M3067" t="b">
        <v>1</v>
      </c>
      <c r="N3067" t="s">
        <v>7106</v>
      </c>
      <c r="Q3067" t="b">
        <v>0</v>
      </c>
      <c r="T3067" t="str">
        <f>"9780310496274"</f>
        <v>9780310496274</v>
      </c>
      <c r="U3067" t="b">
        <v>0</v>
      </c>
      <c r="W3067" t="b">
        <v>0</v>
      </c>
    </row>
    <row r="3068" spans="1:23" x14ac:dyDescent="0.3">
      <c r="A3068">
        <v>2001229</v>
      </c>
      <c r="B3068">
        <v>7.07</v>
      </c>
      <c r="C3068" t="s">
        <v>7108</v>
      </c>
      <c r="D3068" t="s">
        <v>6489</v>
      </c>
      <c r="E3068" t="s">
        <v>49</v>
      </c>
      <c r="F3068" t="s">
        <v>106</v>
      </c>
      <c r="G3068">
        <v>2012</v>
      </c>
      <c r="H3068" t="s">
        <v>3423</v>
      </c>
      <c r="K3068" t="s">
        <v>25</v>
      </c>
      <c r="L3068" t="s">
        <v>30</v>
      </c>
      <c r="M3068" t="b">
        <v>1</v>
      </c>
      <c r="N3068" t="s">
        <v>7106</v>
      </c>
      <c r="Q3068" t="b">
        <v>0</v>
      </c>
      <c r="T3068" t="str">
        <f>"9780310496267"</f>
        <v>9780310496267</v>
      </c>
      <c r="U3068" t="b">
        <v>0</v>
      </c>
      <c r="W3068" t="b">
        <v>0</v>
      </c>
    </row>
    <row r="3069" spans="1:23" x14ac:dyDescent="0.3">
      <c r="A3069">
        <v>1994642</v>
      </c>
      <c r="B3069">
        <v>7.07</v>
      </c>
      <c r="C3069" t="s">
        <v>7109</v>
      </c>
      <c r="D3069" t="s">
        <v>6489</v>
      </c>
      <c r="E3069" t="s">
        <v>49</v>
      </c>
      <c r="F3069" t="s">
        <v>106</v>
      </c>
      <c r="G3069">
        <v>2012</v>
      </c>
      <c r="H3069" t="s">
        <v>3423</v>
      </c>
      <c r="K3069" t="s">
        <v>25</v>
      </c>
      <c r="L3069" t="s">
        <v>30</v>
      </c>
      <c r="M3069" t="b">
        <v>1</v>
      </c>
      <c r="N3069" t="s">
        <v>7106</v>
      </c>
      <c r="Q3069" t="b">
        <v>0</v>
      </c>
      <c r="T3069" t="str">
        <f>"9780310496281"</f>
        <v>9780310496281</v>
      </c>
      <c r="U3069" t="b">
        <v>0</v>
      </c>
      <c r="W3069" t="b">
        <v>0</v>
      </c>
    </row>
    <row r="3070" spans="1:23" x14ac:dyDescent="0.3">
      <c r="A3070">
        <v>1948949</v>
      </c>
      <c r="B3070">
        <v>60.37</v>
      </c>
      <c r="C3070" t="s">
        <v>7110</v>
      </c>
      <c r="D3070" t="s">
        <v>7111</v>
      </c>
      <c r="E3070" t="s">
        <v>23</v>
      </c>
      <c r="F3070" t="s">
        <v>44</v>
      </c>
      <c r="G3070">
        <v>2009</v>
      </c>
      <c r="H3070" t="s">
        <v>50</v>
      </c>
      <c r="I3070" t="s">
        <v>7112</v>
      </c>
      <c r="J3070" t="s">
        <v>895</v>
      </c>
      <c r="K3070" t="s">
        <v>25</v>
      </c>
      <c r="L3070" t="s">
        <v>30</v>
      </c>
      <c r="M3070" t="b">
        <v>1</v>
      </c>
      <c r="N3070" t="s">
        <v>2312</v>
      </c>
      <c r="O3070" t="str">
        <f>"260"</f>
        <v>260</v>
      </c>
      <c r="Q3070" t="b">
        <v>0</v>
      </c>
      <c r="T3070" t="str">
        <f>"9780310831167"</f>
        <v>9780310831167</v>
      </c>
      <c r="U3070" t="b">
        <v>0</v>
      </c>
      <c r="W3070" t="b">
        <v>0</v>
      </c>
    </row>
    <row r="3071" spans="1:23" x14ac:dyDescent="0.3">
      <c r="A3071">
        <v>1948948</v>
      </c>
      <c r="B3071">
        <v>60.37</v>
      </c>
      <c r="C3071" t="s">
        <v>7113</v>
      </c>
      <c r="D3071" t="s">
        <v>7114</v>
      </c>
      <c r="E3071" t="s">
        <v>49</v>
      </c>
      <c r="F3071" t="s">
        <v>44</v>
      </c>
      <c r="G3071">
        <v>2009</v>
      </c>
      <c r="H3071" t="s">
        <v>1227</v>
      </c>
      <c r="I3071" t="s">
        <v>7115</v>
      </c>
      <c r="J3071" t="s">
        <v>7116</v>
      </c>
      <c r="K3071" t="s">
        <v>25</v>
      </c>
      <c r="L3071" t="s">
        <v>30</v>
      </c>
      <c r="M3071" t="b">
        <v>1</v>
      </c>
      <c r="N3071" t="s">
        <v>2312</v>
      </c>
      <c r="O3071" t="str">
        <f>"259/.23"</f>
        <v>259/.23</v>
      </c>
      <c r="Q3071" t="b">
        <v>0</v>
      </c>
      <c r="S3071" t="str">
        <f>"9780310267775"</f>
        <v>9780310267775</v>
      </c>
      <c r="T3071" t="str">
        <f>"9780310829669"</f>
        <v>9780310829669</v>
      </c>
      <c r="U3071" t="b">
        <v>0</v>
      </c>
      <c r="W3071" t="b">
        <v>0</v>
      </c>
    </row>
    <row r="3072" spans="1:23" x14ac:dyDescent="0.3">
      <c r="A3072">
        <v>1948947</v>
      </c>
      <c r="B3072">
        <v>86.22</v>
      </c>
      <c r="C3072" t="s">
        <v>7117</v>
      </c>
      <c r="D3072" t="s">
        <v>7118</v>
      </c>
      <c r="E3072" t="s">
        <v>49</v>
      </c>
      <c r="F3072" t="s">
        <v>106</v>
      </c>
      <c r="G3072">
        <v>2016</v>
      </c>
      <c r="H3072" t="s">
        <v>880</v>
      </c>
      <c r="I3072" t="s">
        <v>7119</v>
      </c>
      <c r="J3072" t="s">
        <v>6336</v>
      </c>
      <c r="K3072" t="s">
        <v>25</v>
      </c>
      <c r="L3072" t="s">
        <v>26</v>
      </c>
      <c r="M3072" t="b">
        <v>1</v>
      </c>
      <c r="N3072" t="s">
        <v>7120</v>
      </c>
      <c r="O3072" t="str">
        <f>"270"</f>
        <v>270</v>
      </c>
      <c r="Q3072" t="b">
        <v>0</v>
      </c>
      <c r="S3072" t="str">
        <f>"9780310536284"</f>
        <v>9780310536284</v>
      </c>
      <c r="T3072" t="str">
        <f>"9780310536291"</f>
        <v>9780310536291</v>
      </c>
      <c r="U3072" t="b">
        <v>0</v>
      </c>
      <c r="W3072" t="b">
        <v>0</v>
      </c>
    </row>
    <row r="3073" spans="1:23" x14ac:dyDescent="0.3">
      <c r="A3073">
        <v>1948946</v>
      </c>
      <c r="B3073">
        <v>86.22</v>
      </c>
      <c r="C3073" t="s">
        <v>7121</v>
      </c>
      <c r="E3073" t="s">
        <v>49</v>
      </c>
      <c r="F3073" t="s">
        <v>44</v>
      </c>
      <c r="G3073">
        <v>2011</v>
      </c>
      <c r="H3073" t="s">
        <v>1181</v>
      </c>
      <c r="I3073" t="s">
        <v>7122</v>
      </c>
      <c r="J3073" t="s">
        <v>7123</v>
      </c>
      <c r="K3073" t="s">
        <v>25</v>
      </c>
      <c r="L3073" t="s">
        <v>26</v>
      </c>
      <c r="M3073" t="b">
        <v>1</v>
      </c>
      <c r="N3073" t="s">
        <v>7124</v>
      </c>
      <c r="O3073" t="str">
        <f>"251"</f>
        <v>251</v>
      </c>
      <c r="Q3073" t="b">
        <v>0</v>
      </c>
      <c r="S3073" t="str">
        <f>"9780310331292"</f>
        <v>9780310331292</v>
      </c>
      <c r="T3073" t="str">
        <f>"9780310426264"</f>
        <v>9780310426264</v>
      </c>
      <c r="U3073" t="b">
        <v>0</v>
      </c>
      <c r="V3073" t="s">
        <v>7125</v>
      </c>
      <c r="W3073" t="b">
        <v>0</v>
      </c>
    </row>
    <row r="3074" spans="1:23" x14ac:dyDescent="0.3">
      <c r="A3074">
        <v>1948944</v>
      </c>
      <c r="B3074">
        <v>58.62</v>
      </c>
      <c r="C3074" t="s">
        <v>7126</v>
      </c>
      <c r="D3074" t="s">
        <v>7127</v>
      </c>
      <c r="E3074" t="s">
        <v>49</v>
      </c>
      <c r="F3074" t="s">
        <v>44</v>
      </c>
      <c r="G3074">
        <v>2012</v>
      </c>
      <c r="H3074" t="s">
        <v>2702</v>
      </c>
      <c r="K3074" t="s">
        <v>25</v>
      </c>
      <c r="L3074" t="s">
        <v>30</v>
      </c>
      <c r="M3074" t="b">
        <v>1</v>
      </c>
      <c r="N3074" t="s">
        <v>7128</v>
      </c>
      <c r="P3074" t="s">
        <v>4756</v>
      </c>
      <c r="Q3074" t="b">
        <v>0</v>
      </c>
      <c r="S3074" t="str">
        <f>"9780310893103"</f>
        <v>9780310893103</v>
      </c>
      <c r="T3074" t="str">
        <f>"9780310893110"</f>
        <v>9780310893110</v>
      </c>
      <c r="U3074" t="b">
        <v>0</v>
      </c>
      <c r="W3074" t="b">
        <v>0</v>
      </c>
    </row>
    <row r="3075" spans="1:23" x14ac:dyDescent="0.3">
      <c r="A3075">
        <v>1948930</v>
      </c>
      <c r="B3075">
        <v>10.63</v>
      </c>
      <c r="C3075" t="s">
        <v>7129</v>
      </c>
      <c r="D3075" t="s">
        <v>6489</v>
      </c>
      <c r="E3075" t="s">
        <v>23</v>
      </c>
      <c r="F3075" t="s">
        <v>106</v>
      </c>
      <c r="G3075">
        <v>2012</v>
      </c>
      <c r="H3075" t="s">
        <v>1261</v>
      </c>
      <c r="I3075" t="s">
        <v>6878</v>
      </c>
      <c r="J3075" t="s">
        <v>7130</v>
      </c>
      <c r="K3075" t="s">
        <v>25</v>
      </c>
      <c r="L3075" t="s">
        <v>30</v>
      </c>
      <c r="M3075" t="b">
        <v>1</v>
      </c>
      <c r="N3075" t="s">
        <v>6880</v>
      </c>
      <c r="O3075" t="str">
        <f>"170"</f>
        <v>170</v>
      </c>
      <c r="Q3075" t="b">
        <v>0</v>
      </c>
      <c r="T3075" t="str">
        <f>"9780310496496"</f>
        <v>9780310496496</v>
      </c>
      <c r="U3075" t="b">
        <v>0</v>
      </c>
      <c r="W3075" t="b">
        <v>0</v>
      </c>
    </row>
    <row r="3076" spans="1:23" x14ac:dyDescent="0.3">
      <c r="A3076">
        <v>1948929</v>
      </c>
      <c r="B3076">
        <v>10.63</v>
      </c>
      <c r="C3076" t="s">
        <v>7131</v>
      </c>
      <c r="D3076" t="s">
        <v>6489</v>
      </c>
      <c r="E3076" t="s">
        <v>23</v>
      </c>
      <c r="F3076" t="s">
        <v>106</v>
      </c>
      <c r="G3076">
        <v>2012</v>
      </c>
      <c r="H3076" t="s">
        <v>115</v>
      </c>
      <c r="I3076" t="s">
        <v>7132</v>
      </c>
      <c r="J3076" t="s">
        <v>7133</v>
      </c>
      <c r="K3076" t="s">
        <v>25</v>
      </c>
      <c r="L3076" t="s">
        <v>30</v>
      </c>
      <c r="M3076" t="b">
        <v>1</v>
      </c>
      <c r="N3076" t="s">
        <v>946</v>
      </c>
      <c r="O3076" t="str">
        <f>"232/.3"</f>
        <v>232/.3</v>
      </c>
      <c r="P3076" t="s">
        <v>7134</v>
      </c>
      <c r="Q3076" t="b">
        <v>0</v>
      </c>
      <c r="T3076" t="str">
        <f>"9780310496236"</f>
        <v>9780310496236</v>
      </c>
      <c r="U3076" t="b">
        <v>0</v>
      </c>
      <c r="W3076" t="b">
        <v>0</v>
      </c>
    </row>
    <row r="3077" spans="1:23" x14ac:dyDescent="0.3">
      <c r="A3077">
        <v>1948928</v>
      </c>
      <c r="B3077">
        <v>10.63</v>
      </c>
      <c r="C3077" t="s">
        <v>7135</v>
      </c>
      <c r="D3077" t="s">
        <v>6489</v>
      </c>
      <c r="E3077" t="s">
        <v>23</v>
      </c>
      <c r="F3077" t="s">
        <v>106</v>
      </c>
      <c r="G3077">
        <v>2012</v>
      </c>
      <c r="H3077" t="s">
        <v>115</v>
      </c>
      <c r="I3077" t="s">
        <v>7136</v>
      </c>
      <c r="J3077" t="s">
        <v>7137</v>
      </c>
      <c r="K3077" t="s">
        <v>25</v>
      </c>
      <c r="L3077" t="s">
        <v>30</v>
      </c>
      <c r="M3077" t="b">
        <v>1</v>
      </c>
      <c r="N3077" t="s">
        <v>946</v>
      </c>
      <c r="O3077" t="str">
        <f>"236.24"</f>
        <v>236.24</v>
      </c>
      <c r="P3077" t="s">
        <v>7134</v>
      </c>
      <c r="Q3077" t="b">
        <v>0</v>
      </c>
      <c r="T3077" t="str">
        <f>"9780310496205"</f>
        <v>9780310496205</v>
      </c>
      <c r="U3077" t="b">
        <v>0</v>
      </c>
      <c r="W3077" t="b">
        <v>0</v>
      </c>
    </row>
    <row r="3078" spans="1:23" x14ac:dyDescent="0.3">
      <c r="A3078">
        <v>1948927</v>
      </c>
      <c r="B3078">
        <v>51.72</v>
      </c>
      <c r="C3078" t="s">
        <v>7138</v>
      </c>
      <c r="D3078" t="s">
        <v>7139</v>
      </c>
      <c r="E3078" t="s">
        <v>49</v>
      </c>
      <c r="F3078" t="s">
        <v>44</v>
      </c>
      <c r="G3078">
        <v>2009</v>
      </c>
      <c r="H3078" t="s">
        <v>2702</v>
      </c>
      <c r="I3078" t="s">
        <v>7140</v>
      </c>
      <c r="J3078" t="s">
        <v>7141</v>
      </c>
      <c r="K3078" t="s">
        <v>25</v>
      </c>
      <c r="L3078" t="s">
        <v>26</v>
      </c>
      <c r="M3078" t="b">
        <v>1</v>
      </c>
      <c r="N3078" t="s">
        <v>6481</v>
      </c>
      <c r="O3078" t="str">
        <f>"269/.2"</f>
        <v>269/.2</v>
      </c>
      <c r="Q3078" t="b">
        <v>0</v>
      </c>
      <c r="S3078" t="str">
        <f>"9780310256595"</f>
        <v>9780310256595</v>
      </c>
      <c r="T3078" t="str">
        <f>"9780310541400"</f>
        <v>9780310541400</v>
      </c>
      <c r="U3078" t="b">
        <v>0</v>
      </c>
      <c r="V3078" t="s">
        <v>6095</v>
      </c>
      <c r="W3078" t="b">
        <v>0</v>
      </c>
    </row>
    <row r="3079" spans="1:23" x14ac:dyDescent="0.3">
      <c r="A3079">
        <v>1948923</v>
      </c>
      <c r="B3079">
        <v>51.72</v>
      </c>
      <c r="C3079" t="s">
        <v>7142</v>
      </c>
      <c r="D3079" t="s">
        <v>7143</v>
      </c>
      <c r="E3079" t="s">
        <v>23</v>
      </c>
      <c r="F3079" t="s">
        <v>44</v>
      </c>
      <c r="G3079">
        <v>2010</v>
      </c>
      <c r="H3079" t="s">
        <v>50</v>
      </c>
      <c r="I3079" t="s">
        <v>7144</v>
      </c>
      <c r="J3079" t="s">
        <v>7145</v>
      </c>
      <c r="K3079" t="s">
        <v>25</v>
      </c>
      <c r="L3079" t="s">
        <v>30</v>
      </c>
      <c r="M3079" t="b">
        <v>1</v>
      </c>
      <c r="N3079" t="s">
        <v>1443</v>
      </c>
      <c r="O3079" t="str">
        <f>"251/.08"</f>
        <v>251/.08</v>
      </c>
      <c r="Q3079" t="b">
        <v>0</v>
      </c>
      <c r="S3079" t="str">
        <f>"9780310236191"</f>
        <v>9780310236191</v>
      </c>
      <c r="T3079" t="str">
        <f>"9780310872689"</f>
        <v>9780310872689</v>
      </c>
      <c r="U3079" t="b">
        <v>0</v>
      </c>
      <c r="W3079" t="b">
        <v>0</v>
      </c>
    </row>
    <row r="3080" spans="1:23" x14ac:dyDescent="0.3">
      <c r="A3080">
        <v>1948922</v>
      </c>
      <c r="B3080">
        <v>34.47</v>
      </c>
      <c r="C3080" t="s">
        <v>3440</v>
      </c>
      <c r="E3080" t="s">
        <v>49</v>
      </c>
      <c r="F3080" t="s">
        <v>44</v>
      </c>
      <c r="G3080">
        <v>2013</v>
      </c>
      <c r="H3080" t="s">
        <v>50</v>
      </c>
      <c r="K3080" t="s">
        <v>25</v>
      </c>
      <c r="L3080" t="s">
        <v>30</v>
      </c>
      <c r="M3080" t="b">
        <v>1</v>
      </c>
      <c r="N3080" t="s">
        <v>6237</v>
      </c>
      <c r="P3080" t="s">
        <v>7146</v>
      </c>
      <c r="Q3080" t="b">
        <v>0</v>
      </c>
      <c r="S3080" t="str">
        <f>"9780310272007"</f>
        <v>9780310272007</v>
      </c>
      <c r="T3080" t="str">
        <f>"9780310516798"</f>
        <v>9780310516798</v>
      </c>
      <c r="U3080" t="b">
        <v>0</v>
      </c>
      <c r="W3080" t="b">
        <v>0</v>
      </c>
    </row>
    <row r="3081" spans="1:23" x14ac:dyDescent="0.3">
      <c r="A3081">
        <v>1948921</v>
      </c>
      <c r="B3081">
        <v>44.82</v>
      </c>
      <c r="C3081" t="s">
        <v>7147</v>
      </c>
      <c r="E3081" t="s">
        <v>49</v>
      </c>
      <c r="F3081" t="s">
        <v>44</v>
      </c>
      <c r="G3081">
        <v>2013</v>
      </c>
      <c r="H3081" t="s">
        <v>50</v>
      </c>
      <c r="K3081" t="s">
        <v>25</v>
      </c>
      <c r="L3081" t="s">
        <v>30</v>
      </c>
      <c r="M3081" t="b">
        <v>1</v>
      </c>
      <c r="N3081" t="s">
        <v>7148</v>
      </c>
      <c r="Q3081" t="b">
        <v>0</v>
      </c>
      <c r="S3081" t="str">
        <f>"9780310670346"</f>
        <v>9780310670346</v>
      </c>
      <c r="T3081" t="str">
        <f>"9780310890744"</f>
        <v>9780310890744</v>
      </c>
      <c r="U3081" t="b">
        <v>0</v>
      </c>
      <c r="W3081" t="b">
        <v>0</v>
      </c>
    </row>
    <row r="3082" spans="1:23" x14ac:dyDescent="0.3">
      <c r="A3082">
        <v>1948920</v>
      </c>
      <c r="B3082">
        <v>51.72</v>
      </c>
      <c r="C3082" t="s">
        <v>7149</v>
      </c>
      <c r="D3082" t="s">
        <v>7150</v>
      </c>
      <c r="E3082" t="s">
        <v>49</v>
      </c>
      <c r="F3082" t="s">
        <v>44</v>
      </c>
      <c r="G3082">
        <v>2013</v>
      </c>
      <c r="H3082" t="s">
        <v>50</v>
      </c>
      <c r="I3082" t="s">
        <v>7151</v>
      </c>
      <c r="J3082" t="s">
        <v>7152</v>
      </c>
      <c r="K3082" t="s">
        <v>25</v>
      </c>
      <c r="L3082" t="s">
        <v>30</v>
      </c>
      <c r="M3082" t="b">
        <v>1</v>
      </c>
      <c r="N3082" t="s">
        <v>7153</v>
      </c>
      <c r="O3082" t="str">
        <f>"259/.23"</f>
        <v>259/.23</v>
      </c>
      <c r="Q3082" t="b">
        <v>0</v>
      </c>
      <c r="S3082" t="str">
        <f>"9780310668756"</f>
        <v>9780310668756</v>
      </c>
      <c r="T3082" t="str">
        <f>"9780310515340"</f>
        <v>9780310515340</v>
      </c>
      <c r="U3082" t="b">
        <v>0</v>
      </c>
      <c r="W3082" t="b">
        <v>0</v>
      </c>
    </row>
    <row r="3083" spans="1:23" x14ac:dyDescent="0.3">
      <c r="A3083">
        <v>1948919</v>
      </c>
      <c r="B3083">
        <v>86.22</v>
      </c>
      <c r="C3083" t="s">
        <v>7154</v>
      </c>
      <c r="D3083" t="s">
        <v>7155</v>
      </c>
      <c r="E3083" t="s">
        <v>49</v>
      </c>
      <c r="F3083" t="s">
        <v>44</v>
      </c>
      <c r="G3083">
        <v>2013</v>
      </c>
      <c r="H3083" t="s">
        <v>50</v>
      </c>
      <c r="K3083" t="s">
        <v>25</v>
      </c>
      <c r="L3083" t="s">
        <v>30</v>
      </c>
      <c r="M3083" t="b">
        <v>1</v>
      </c>
      <c r="N3083" t="s">
        <v>7156</v>
      </c>
      <c r="Q3083" t="b">
        <v>0</v>
      </c>
      <c r="S3083" t="str">
        <f>"9780310692904"</f>
        <v>9780310692904</v>
      </c>
      <c r="T3083" t="str">
        <f>"9780310692911"</f>
        <v>9780310692911</v>
      </c>
      <c r="U3083" t="b">
        <v>0</v>
      </c>
      <c r="W3083" t="b">
        <v>0</v>
      </c>
    </row>
    <row r="3084" spans="1:23" x14ac:dyDescent="0.3">
      <c r="A3084">
        <v>1948918</v>
      </c>
      <c r="B3084">
        <v>44.82</v>
      </c>
      <c r="C3084" t="s">
        <v>7157</v>
      </c>
      <c r="D3084" t="s">
        <v>7158</v>
      </c>
      <c r="E3084" t="s">
        <v>23</v>
      </c>
      <c r="F3084" t="s">
        <v>44</v>
      </c>
      <c r="G3084">
        <v>2012</v>
      </c>
      <c r="H3084" t="s">
        <v>50</v>
      </c>
      <c r="K3084" t="s">
        <v>25</v>
      </c>
      <c r="L3084" t="s">
        <v>30</v>
      </c>
      <c r="M3084" t="b">
        <v>1</v>
      </c>
      <c r="N3084" t="s">
        <v>7159</v>
      </c>
      <c r="Q3084" t="b">
        <v>0</v>
      </c>
      <c r="S3084" t="str">
        <f>"9780310670339"</f>
        <v>9780310670339</v>
      </c>
      <c r="T3084" t="str">
        <f>"9780310890768"</f>
        <v>9780310890768</v>
      </c>
      <c r="U3084" t="b">
        <v>0</v>
      </c>
      <c r="W3084" t="b">
        <v>0</v>
      </c>
    </row>
    <row r="3085" spans="1:23" x14ac:dyDescent="0.3">
      <c r="A3085">
        <v>1948917</v>
      </c>
      <c r="B3085">
        <v>56.82</v>
      </c>
      <c r="C3085" t="s">
        <v>7160</v>
      </c>
      <c r="E3085" t="s">
        <v>49</v>
      </c>
      <c r="F3085" t="s">
        <v>44</v>
      </c>
      <c r="G3085">
        <v>2009</v>
      </c>
      <c r="H3085" t="s">
        <v>50</v>
      </c>
      <c r="I3085" t="s">
        <v>7161</v>
      </c>
      <c r="J3085" t="s">
        <v>7162</v>
      </c>
      <c r="K3085" t="s">
        <v>25</v>
      </c>
      <c r="L3085" t="s">
        <v>30</v>
      </c>
      <c r="M3085" t="b">
        <v>1</v>
      </c>
      <c r="N3085" t="s">
        <v>5763</v>
      </c>
      <c r="O3085" t="str">
        <f>"268.433"</f>
        <v>268.433</v>
      </c>
      <c r="Q3085" t="b">
        <v>0</v>
      </c>
      <c r="T3085" t="str">
        <f>"9780310569916"</f>
        <v>9780310569916</v>
      </c>
      <c r="U3085" t="b">
        <v>0</v>
      </c>
      <c r="W3085" t="b">
        <v>0</v>
      </c>
    </row>
    <row r="3086" spans="1:23" x14ac:dyDescent="0.3">
      <c r="A3086">
        <v>1948916</v>
      </c>
      <c r="B3086">
        <v>51.72</v>
      </c>
      <c r="C3086" t="s">
        <v>7163</v>
      </c>
      <c r="D3086" t="s">
        <v>7164</v>
      </c>
      <c r="E3086" t="s">
        <v>23</v>
      </c>
      <c r="F3086" t="s">
        <v>44</v>
      </c>
      <c r="G3086">
        <v>2010</v>
      </c>
      <c r="H3086" t="s">
        <v>50</v>
      </c>
      <c r="K3086" t="s">
        <v>25</v>
      </c>
      <c r="L3086" t="s">
        <v>30</v>
      </c>
      <c r="M3086" t="b">
        <v>1</v>
      </c>
      <c r="N3086" t="s">
        <v>7165</v>
      </c>
      <c r="Q3086" t="b">
        <v>0</v>
      </c>
      <c r="S3086" t="str">
        <f>"9780310207757"</f>
        <v>9780310207757</v>
      </c>
      <c r="T3086" t="str">
        <f>"9780310877417"</f>
        <v>9780310877417</v>
      </c>
      <c r="U3086" t="b">
        <v>0</v>
      </c>
      <c r="W3086" t="b">
        <v>0</v>
      </c>
    </row>
    <row r="3087" spans="1:23" x14ac:dyDescent="0.3">
      <c r="A3087">
        <v>1948915</v>
      </c>
      <c r="B3087">
        <v>34.47</v>
      </c>
      <c r="C3087" t="s">
        <v>7166</v>
      </c>
      <c r="D3087" t="s">
        <v>7167</v>
      </c>
      <c r="E3087" t="s">
        <v>49</v>
      </c>
      <c r="F3087" t="s">
        <v>44</v>
      </c>
      <c r="G3087">
        <v>2009</v>
      </c>
      <c r="H3087" t="s">
        <v>50</v>
      </c>
      <c r="K3087" t="s">
        <v>25</v>
      </c>
      <c r="L3087" t="s">
        <v>30</v>
      </c>
      <c r="M3087" t="b">
        <v>1</v>
      </c>
      <c r="N3087" t="s">
        <v>7168</v>
      </c>
      <c r="Q3087" t="b">
        <v>0</v>
      </c>
      <c r="S3087" t="str">
        <f>"9780310521136"</f>
        <v>9780310521136</v>
      </c>
      <c r="T3087" t="str">
        <f>"9780310576969"</f>
        <v>9780310576969</v>
      </c>
      <c r="U3087" t="b">
        <v>0</v>
      </c>
      <c r="W3087" t="b">
        <v>0</v>
      </c>
    </row>
    <row r="3088" spans="1:23" x14ac:dyDescent="0.3">
      <c r="A3088">
        <v>1948914</v>
      </c>
      <c r="B3088">
        <v>68.97</v>
      </c>
      <c r="C3088" t="s">
        <v>7169</v>
      </c>
      <c r="D3088" t="s">
        <v>7170</v>
      </c>
      <c r="E3088" t="s">
        <v>49</v>
      </c>
      <c r="F3088" t="s">
        <v>44</v>
      </c>
      <c r="G3088">
        <v>2009</v>
      </c>
      <c r="H3088" t="s">
        <v>50</v>
      </c>
      <c r="I3088" t="s">
        <v>7151</v>
      </c>
      <c r="J3088" t="s">
        <v>895</v>
      </c>
      <c r="K3088" t="s">
        <v>25</v>
      </c>
      <c r="L3088" t="s">
        <v>30</v>
      </c>
      <c r="M3088" t="b">
        <v>1</v>
      </c>
      <c r="N3088" t="s">
        <v>7171</v>
      </c>
      <c r="O3088" t="str">
        <f>"259/.23"</f>
        <v>259/.23</v>
      </c>
      <c r="P3088" t="s">
        <v>7172</v>
      </c>
      <c r="Q3088" t="b">
        <v>0</v>
      </c>
      <c r="S3088" t="str">
        <f>"9780310255277"</f>
        <v>9780310255277</v>
      </c>
      <c r="T3088" t="str">
        <f>"9780310835608"</f>
        <v>9780310835608</v>
      </c>
      <c r="U3088" t="b">
        <v>0</v>
      </c>
      <c r="W3088" t="b">
        <v>0</v>
      </c>
    </row>
    <row r="3089" spans="1:23" x14ac:dyDescent="0.3">
      <c r="A3089">
        <v>1948913</v>
      </c>
      <c r="B3089">
        <v>34.47</v>
      </c>
      <c r="C3089" t="s">
        <v>7173</v>
      </c>
      <c r="D3089" t="s">
        <v>7174</v>
      </c>
      <c r="E3089" t="s">
        <v>49</v>
      </c>
      <c r="F3089" t="s">
        <v>44</v>
      </c>
      <c r="G3089">
        <v>2004</v>
      </c>
      <c r="H3089" t="s">
        <v>50</v>
      </c>
      <c r="I3089" t="s">
        <v>7151</v>
      </c>
      <c r="J3089" t="s">
        <v>7175</v>
      </c>
      <c r="K3089" t="s">
        <v>25</v>
      </c>
      <c r="L3089" t="s">
        <v>26</v>
      </c>
      <c r="M3089" t="b">
        <v>1</v>
      </c>
      <c r="N3089" t="s">
        <v>7176</v>
      </c>
      <c r="O3089" t="str">
        <f>"259/.2"</f>
        <v>259/.2</v>
      </c>
      <c r="Q3089" t="b">
        <v>0</v>
      </c>
      <c r="S3089" t="str">
        <f>"9780310255529"</f>
        <v>9780310255529</v>
      </c>
      <c r="T3089" t="str">
        <f>"9780310852568"</f>
        <v>9780310852568</v>
      </c>
      <c r="U3089" t="b">
        <v>0</v>
      </c>
      <c r="W3089" t="b">
        <v>0</v>
      </c>
    </row>
    <row r="3090" spans="1:23" x14ac:dyDescent="0.3">
      <c r="A3090">
        <v>1948912</v>
      </c>
      <c r="B3090">
        <v>46.16</v>
      </c>
      <c r="C3090" t="s">
        <v>7177</v>
      </c>
      <c r="D3090" t="s">
        <v>7178</v>
      </c>
      <c r="E3090" t="s">
        <v>49</v>
      </c>
      <c r="F3090" t="s">
        <v>44</v>
      </c>
      <c r="G3090">
        <v>2009</v>
      </c>
      <c r="H3090" t="s">
        <v>50</v>
      </c>
      <c r="K3090" t="s">
        <v>25</v>
      </c>
      <c r="L3090" t="s">
        <v>30</v>
      </c>
      <c r="M3090" t="b">
        <v>1</v>
      </c>
      <c r="N3090" t="s">
        <v>7179</v>
      </c>
      <c r="Q3090" t="b">
        <v>0</v>
      </c>
      <c r="T3090" t="str">
        <f>"9780310569794"</f>
        <v>9780310569794</v>
      </c>
      <c r="U3090" t="b">
        <v>0</v>
      </c>
      <c r="W3090" t="b">
        <v>0</v>
      </c>
    </row>
    <row r="3091" spans="1:23" x14ac:dyDescent="0.3">
      <c r="A3091">
        <v>1948911</v>
      </c>
      <c r="B3091">
        <v>58.62</v>
      </c>
      <c r="C3091" t="s">
        <v>7180</v>
      </c>
      <c r="D3091" t="s">
        <v>7181</v>
      </c>
      <c r="E3091" t="s">
        <v>49</v>
      </c>
      <c r="F3091" t="s">
        <v>44</v>
      </c>
      <c r="G3091">
        <v>2011</v>
      </c>
      <c r="H3091" t="s">
        <v>50</v>
      </c>
      <c r="I3091" t="s">
        <v>7151</v>
      </c>
      <c r="J3091" t="s">
        <v>7182</v>
      </c>
      <c r="K3091" t="s">
        <v>25</v>
      </c>
      <c r="L3091" t="s">
        <v>26</v>
      </c>
      <c r="M3091" t="b">
        <v>1</v>
      </c>
      <c r="N3091" t="s">
        <v>7171</v>
      </c>
      <c r="O3091" t="str">
        <f>"259/.23"</f>
        <v>259/.23</v>
      </c>
      <c r="Q3091" t="b">
        <v>0</v>
      </c>
      <c r="S3091" t="str">
        <f>"9780310670308"</f>
        <v>9780310670308</v>
      </c>
      <c r="T3091" t="str">
        <f>"9780310890737"</f>
        <v>9780310890737</v>
      </c>
      <c r="U3091" t="b">
        <v>0</v>
      </c>
      <c r="W3091" t="b">
        <v>0</v>
      </c>
    </row>
    <row r="3092" spans="1:23" x14ac:dyDescent="0.3">
      <c r="A3092">
        <v>1948910</v>
      </c>
      <c r="B3092">
        <v>35.5</v>
      </c>
      <c r="C3092" t="s">
        <v>7183</v>
      </c>
      <c r="D3092" t="s">
        <v>7184</v>
      </c>
      <c r="E3092" t="s">
        <v>49</v>
      </c>
      <c r="F3092" t="s">
        <v>44</v>
      </c>
      <c r="G3092">
        <v>2009</v>
      </c>
      <c r="H3092" t="s">
        <v>50</v>
      </c>
      <c r="K3092" t="s">
        <v>25</v>
      </c>
      <c r="L3092" t="s">
        <v>30</v>
      </c>
      <c r="M3092" t="b">
        <v>1</v>
      </c>
      <c r="N3092" t="s">
        <v>5770</v>
      </c>
      <c r="Q3092" t="b">
        <v>0</v>
      </c>
      <c r="T3092" t="str">
        <f>"9780310834946"</f>
        <v>9780310834946</v>
      </c>
      <c r="U3092" t="b">
        <v>0</v>
      </c>
      <c r="W3092" t="b">
        <v>0</v>
      </c>
    </row>
    <row r="3093" spans="1:23" x14ac:dyDescent="0.3">
      <c r="A3093">
        <v>1948909</v>
      </c>
      <c r="B3093">
        <v>44.82</v>
      </c>
      <c r="C3093" t="s">
        <v>7185</v>
      </c>
      <c r="D3093" t="s">
        <v>7186</v>
      </c>
      <c r="E3093" t="s">
        <v>23</v>
      </c>
      <c r="F3093" t="s">
        <v>44</v>
      </c>
      <c r="G3093">
        <v>2012</v>
      </c>
      <c r="H3093" t="s">
        <v>56</v>
      </c>
      <c r="K3093" t="s">
        <v>25</v>
      </c>
      <c r="L3093" t="s">
        <v>30</v>
      </c>
      <c r="M3093" t="b">
        <v>1</v>
      </c>
      <c r="N3093" t="s">
        <v>1285</v>
      </c>
      <c r="Q3093" t="b">
        <v>0</v>
      </c>
      <c r="S3093" t="str">
        <f>"9780310669371"</f>
        <v>9780310669371</v>
      </c>
      <c r="T3093" t="str">
        <f>"9780310296560"</f>
        <v>9780310296560</v>
      </c>
      <c r="U3093" t="b">
        <v>0</v>
      </c>
      <c r="W3093" t="b">
        <v>0</v>
      </c>
    </row>
    <row r="3094" spans="1:23" x14ac:dyDescent="0.3">
      <c r="A3094">
        <v>1948908</v>
      </c>
      <c r="B3094">
        <v>37.92</v>
      </c>
      <c r="C3094" t="s">
        <v>7187</v>
      </c>
      <c r="D3094" t="s">
        <v>7188</v>
      </c>
      <c r="E3094" t="s">
        <v>49</v>
      </c>
      <c r="F3094" t="s">
        <v>44</v>
      </c>
      <c r="G3094">
        <v>2009</v>
      </c>
      <c r="H3094" t="s">
        <v>50</v>
      </c>
      <c r="I3094" t="s">
        <v>7189</v>
      </c>
      <c r="J3094" t="s">
        <v>7190</v>
      </c>
      <c r="K3094" t="s">
        <v>25</v>
      </c>
      <c r="L3094" t="s">
        <v>30</v>
      </c>
      <c r="M3094" t="b">
        <v>1</v>
      </c>
      <c r="N3094" t="s">
        <v>5770</v>
      </c>
      <c r="O3094" t="str">
        <f>"259.2302"</f>
        <v>259.2302</v>
      </c>
      <c r="P3094" t="s">
        <v>7191</v>
      </c>
      <c r="Q3094" t="b">
        <v>0</v>
      </c>
      <c r="S3094" t="str">
        <f>"9780310209430"</f>
        <v>9780310209430</v>
      </c>
      <c r="T3094" t="str">
        <f>"9780310854005"</f>
        <v>9780310854005</v>
      </c>
      <c r="U3094" t="b">
        <v>0</v>
      </c>
      <c r="W3094" t="b">
        <v>0</v>
      </c>
    </row>
    <row r="3095" spans="1:23" x14ac:dyDescent="0.3">
      <c r="A3095">
        <v>1948907</v>
      </c>
      <c r="B3095">
        <v>42.61</v>
      </c>
      <c r="C3095" t="s">
        <v>7192</v>
      </c>
      <c r="D3095" t="s">
        <v>7193</v>
      </c>
      <c r="E3095" t="s">
        <v>23</v>
      </c>
      <c r="F3095" t="s">
        <v>44</v>
      </c>
      <c r="G3095">
        <v>2011</v>
      </c>
      <c r="H3095" t="s">
        <v>50</v>
      </c>
      <c r="K3095" t="s">
        <v>25</v>
      </c>
      <c r="L3095" t="s">
        <v>30</v>
      </c>
      <c r="M3095" t="b">
        <v>1</v>
      </c>
      <c r="N3095" t="s">
        <v>7194</v>
      </c>
      <c r="Q3095" t="b">
        <v>0</v>
      </c>
      <c r="S3095" t="str">
        <f>"9780310671060"</f>
        <v>9780310671060</v>
      </c>
      <c r="T3095" t="str">
        <f>"9780310578970"</f>
        <v>9780310578970</v>
      </c>
      <c r="U3095" t="b">
        <v>0</v>
      </c>
      <c r="W3095" t="b">
        <v>0</v>
      </c>
    </row>
    <row r="3096" spans="1:23" x14ac:dyDescent="0.3">
      <c r="A3096">
        <v>1948906</v>
      </c>
      <c r="B3096">
        <v>49.71</v>
      </c>
      <c r="C3096" t="s">
        <v>7195</v>
      </c>
      <c r="D3096" t="s">
        <v>7196</v>
      </c>
      <c r="E3096" t="s">
        <v>49</v>
      </c>
      <c r="F3096" t="s">
        <v>44</v>
      </c>
      <c r="G3096">
        <v>2008</v>
      </c>
      <c r="H3096" t="s">
        <v>50</v>
      </c>
      <c r="K3096" t="s">
        <v>25</v>
      </c>
      <c r="L3096" t="s">
        <v>30</v>
      </c>
      <c r="M3096" t="b">
        <v>1</v>
      </c>
      <c r="N3096" t="s">
        <v>7197</v>
      </c>
      <c r="Q3096" t="b">
        <v>0</v>
      </c>
      <c r="T3096" t="str">
        <f>"9780310669555"</f>
        <v>9780310669555</v>
      </c>
      <c r="U3096" t="b">
        <v>0</v>
      </c>
      <c r="W3096" t="b">
        <v>0</v>
      </c>
    </row>
    <row r="3097" spans="1:23" x14ac:dyDescent="0.3">
      <c r="A3097">
        <v>1948905</v>
      </c>
      <c r="B3097">
        <v>39.049999999999997</v>
      </c>
      <c r="C3097" t="s">
        <v>7198</v>
      </c>
      <c r="D3097" t="s">
        <v>7199</v>
      </c>
      <c r="E3097" t="s">
        <v>49</v>
      </c>
      <c r="F3097" t="s">
        <v>44</v>
      </c>
      <c r="G3097">
        <v>2009</v>
      </c>
      <c r="H3097" t="s">
        <v>50</v>
      </c>
      <c r="K3097" t="s">
        <v>25</v>
      </c>
      <c r="L3097" t="s">
        <v>30</v>
      </c>
      <c r="M3097" t="b">
        <v>1</v>
      </c>
      <c r="N3097" t="s">
        <v>7200</v>
      </c>
      <c r="P3097" t="s">
        <v>7201</v>
      </c>
      <c r="Q3097" t="b">
        <v>0</v>
      </c>
      <c r="T3097" t="str">
        <f>"9780310569855"</f>
        <v>9780310569855</v>
      </c>
      <c r="U3097" t="b">
        <v>0</v>
      </c>
      <c r="W3097" t="b">
        <v>0</v>
      </c>
    </row>
    <row r="3098" spans="1:23" x14ac:dyDescent="0.3">
      <c r="A3098">
        <v>1948904</v>
      </c>
      <c r="B3098">
        <v>46.16</v>
      </c>
      <c r="C3098" t="s">
        <v>7202</v>
      </c>
      <c r="D3098" t="s">
        <v>7203</v>
      </c>
      <c r="E3098" t="s">
        <v>23</v>
      </c>
      <c r="F3098" t="s">
        <v>44</v>
      </c>
      <c r="G3098">
        <v>2008</v>
      </c>
      <c r="H3098" t="s">
        <v>50</v>
      </c>
      <c r="K3098" t="s">
        <v>25</v>
      </c>
      <c r="L3098" t="s">
        <v>30</v>
      </c>
      <c r="M3098" t="b">
        <v>1</v>
      </c>
      <c r="N3098" t="s">
        <v>2146</v>
      </c>
      <c r="Q3098" t="b">
        <v>0</v>
      </c>
      <c r="T3098" t="str">
        <f>"9780310309093"</f>
        <v>9780310309093</v>
      </c>
      <c r="U3098" t="b">
        <v>0</v>
      </c>
      <c r="W3098" t="b">
        <v>0</v>
      </c>
    </row>
    <row r="3099" spans="1:23" x14ac:dyDescent="0.3">
      <c r="A3099">
        <v>1948903</v>
      </c>
      <c r="B3099">
        <v>58.62</v>
      </c>
      <c r="C3099" t="s">
        <v>7204</v>
      </c>
      <c r="D3099" t="s">
        <v>7205</v>
      </c>
      <c r="E3099" t="s">
        <v>23</v>
      </c>
      <c r="F3099" t="s">
        <v>44</v>
      </c>
      <c r="G3099">
        <v>2009</v>
      </c>
      <c r="H3099" t="s">
        <v>751</v>
      </c>
      <c r="I3099" t="s">
        <v>7206</v>
      </c>
      <c r="J3099" t="s">
        <v>7207</v>
      </c>
      <c r="K3099" t="s">
        <v>25</v>
      </c>
      <c r="L3099" t="s">
        <v>30</v>
      </c>
      <c r="M3099" t="b">
        <v>1</v>
      </c>
      <c r="N3099" t="s">
        <v>5348</v>
      </c>
      <c r="O3099" t="str">
        <f>"253"</f>
        <v>253</v>
      </c>
      <c r="Q3099" t="b">
        <v>0</v>
      </c>
      <c r="S3099" t="str">
        <f>"9780310293477"</f>
        <v>9780310293477</v>
      </c>
      <c r="T3099" t="str">
        <f>"9780310296744"</f>
        <v>9780310296744</v>
      </c>
      <c r="U3099" t="b">
        <v>0</v>
      </c>
      <c r="W3099" t="b">
        <v>0</v>
      </c>
    </row>
    <row r="3100" spans="1:23" x14ac:dyDescent="0.3">
      <c r="A3100">
        <v>1948902</v>
      </c>
      <c r="B3100">
        <v>42.61</v>
      </c>
      <c r="C3100" t="s">
        <v>7208</v>
      </c>
      <c r="E3100" t="s">
        <v>23</v>
      </c>
      <c r="F3100" t="s">
        <v>44</v>
      </c>
      <c r="G3100">
        <v>2009</v>
      </c>
      <c r="H3100" t="s">
        <v>5369</v>
      </c>
      <c r="K3100" t="s">
        <v>25</v>
      </c>
      <c r="L3100" t="s">
        <v>30</v>
      </c>
      <c r="M3100" t="b">
        <v>1</v>
      </c>
      <c r="N3100" t="s">
        <v>2531</v>
      </c>
      <c r="Q3100" t="b">
        <v>0</v>
      </c>
      <c r="T3100" t="str">
        <f>"9780310297024"</f>
        <v>9780310297024</v>
      </c>
      <c r="U3100" t="b">
        <v>0</v>
      </c>
      <c r="W3100" t="b">
        <v>0</v>
      </c>
    </row>
    <row r="3101" spans="1:23" x14ac:dyDescent="0.3">
      <c r="A3101">
        <v>1948901</v>
      </c>
      <c r="B3101">
        <v>53.27</v>
      </c>
      <c r="C3101" t="s">
        <v>7209</v>
      </c>
      <c r="D3101" t="s">
        <v>7210</v>
      </c>
      <c r="E3101" t="s">
        <v>23</v>
      </c>
      <c r="F3101" t="s">
        <v>44</v>
      </c>
      <c r="G3101">
        <v>2009</v>
      </c>
      <c r="H3101" t="s">
        <v>2702</v>
      </c>
      <c r="I3101" t="s">
        <v>3448</v>
      </c>
      <c r="J3101" t="s">
        <v>7211</v>
      </c>
      <c r="K3101" t="s">
        <v>25</v>
      </c>
      <c r="L3101" t="s">
        <v>30</v>
      </c>
      <c r="M3101" t="b">
        <v>1</v>
      </c>
      <c r="N3101" t="s">
        <v>7212</v>
      </c>
      <c r="O3101" t="str">
        <f>"253/.7"</f>
        <v>253/.7</v>
      </c>
      <c r="P3101" t="s">
        <v>7213</v>
      </c>
      <c r="Q3101" t="b">
        <v>0</v>
      </c>
      <c r="T3101" t="str">
        <f>"9780310316886"</f>
        <v>9780310316886</v>
      </c>
      <c r="U3101" t="b">
        <v>0</v>
      </c>
      <c r="W3101" t="b">
        <v>0</v>
      </c>
    </row>
    <row r="3102" spans="1:23" x14ac:dyDescent="0.3">
      <c r="A3102">
        <v>1948899</v>
      </c>
      <c r="B3102">
        <v>79.319999999999993</v>
      </c>
      <c r="C3102" t="s">
        <v>7214</v>
      </c>
      <c r="D3102" t="s">
        <v>7215</v>
      </c>
      <c r="E3102" t="s">
        <v>49</v>
      </c>
      <c r="F3102" t="s">
        <v>44</v>
      </c>
      <c r="G3102">
        <v>2016</v>
      </c>
      <c r="H3102" t="s">
        <v>58</v>
      </c>
      <c r="I3102" t="s">
        <v>7216</v>
      </c>
      <c r="J3102" t="s">
        <v>7217</v>
      </c>
      <c r="K3102" t="s">
        <v>25</v>
      </c>
      <c r="L3102" t="s">
        <v>26</v>
      </c>
      <c r="M3102" t="b">
        <v>1</v>
      </c>
      <c r="N3102" t="s">
        <v>795</v>
      </c>
      <c r="O3102" t="str">
        <f>"253"</f>
        <v>253</v>
      </c>
      <c r="Q3102" t="b">
        <v>0</v>
      </c>
      <c r="S3102" t="str">
        <f>"9780310526537"</f>
        <v>9780310526537</v>
      </c>
      <c r="T3102" t="str">
        <f>"9780310527497"</f>
        <v>9780310527497</v>
      </c>
      <c r="U3102" t="b">
        <v>0</v>
      </c>
      <c r="W3102" t="b">
        <v>0</v>
      </c>
    </row>
    <row r="3103" spans="1:23" x14ac:dyDescent="0.3">
      <c r="A3103">
        <v>1948897</v>
      </c>
      <c r="B3103">
        <v>49.71</v>
      </c>
      <c r="C3103" t="s">
        <v>7218</v>
      </c>
      <c r="D3103" t="s">
        <v>7219</v>
      </c>
      <c r="E3103" t="s">
        <v>23</v>
      </c>
      <c r="F3103" t="s">
        <v>44</v>
      </c>
      <c r="G3103">
        <v>2007</v>
      </c>
      <c r="H3103" t="s">
        <v>804</v>
      </c>
      <c r="I3103" t="s">
        <v>7220</v>
      </c>
      <c r="J3103" t="s">
        <v>7221</v>
      </c>
      <c r="K3103" t="s">
        <v>25</v>
      </c>
      <c r="L3103" t="s">
        <v>30</v>
      </c>
      <c r="M3103" t="b">
        <v>1</v>
      </c>
      <c r="N3103" t="s">
        <v>7222</v>
      </c>
      <c r="O3103" t="str">
        <f>"253/.2"</f>
        <v>253/.2</v>
      </c>
      <c r="Q3103" t="b">
        <v>0</v>
      </c>
      <c r="T3103" t="str">
        <f>"9780310315179"</f>
        <v>9780310315179</v>
      </c>
      <c r="U3103" t="b">
        <v>0</v>
      </c>
      <c r="W3103" t="b">
        <v>0</v>
      </c>
    </row>
    <row r="3104" spans="1:23" x14ac:dyDescent="0.3">
      <c r="A3104">
        <v>1948896</v>
      </c>
      <c r="B3104">
        <v>79.319999999999993</v>
      </c>
      <c r="C3104" t="s">
        <v>7223</v>
      </c>
      <c r="D3104" t="s">
        <v>7224</v>
      </c>
      <c r="E3104" t="s">
        <v>23</v>
      </c>
      <c r="F3104" t="s">
        <v>44</v>
      </c>
      <c r="G3104">
        <v>2009</v>
      </c>
      <c r="H3104" t="s">
        <v>52</v>
      </c>
      <c r="I3104" t="s">
        <v>7225</v>
      </c>
      <c r="J3104" t="s">
        <v>7226</v>
      </c>
      <c r="K3104" t="s">
        <v>25</v>
      </c>
      <c r="L3104" t="s">
        <v>30</v>
      </c>
      <c r="M3104" t="b">
        <v>1</v>
      </c>
      <c r="N3104" t="s">
        <v>7227</v>
      </c>
      <c r="O3104" t="str">
        <f>"259/.1"</f>
        <v>259/.1</v>
      </c>
      <c r="Q3104" t="b">
        <v>0</v>
      </c>
      <c r="S3104" t="str">
        <f>"9780310285298"</f>
        <v>9780310285298</v>
      </c>
      <c r="T3104" t="str">
        <f>"9780310540205"</f>
        <v>9780310540205</v>
      </c>
      <c r="U3104" t="b">
        <v>0</v>
      </c>
      <c r="W3104" t="b">
        <v>0</v>
      </c>
    </row>
    <row r="3105" spans="1:23" x14ac:dyDescent="0.3">
      <c r="A3105">
        <v>1948895</v>
      </c>
      <c r="B3105">
        <v>51.72</v>
      </c>
      <c r="C3105" t="s">
        <v>7228</v>
      </c>
      <c r="E3105" t="s">
        <v>49</v>
      </c>
      <c r="F3105" t="s">
        <v>44</v>
      </c>
      <c r="G3105">
        <v>2009</v>
      </c>
      <c r="H3105" t="s">
        <v>2702</v>
      </c>
      <c r="I3105" t="s">
        <v>7229</v>
      </c>
      <c r="J3105" t="s">
        <v>895</v>
      </c>
      <c r="K3105" t="s">
        <v>25</v>
      </c>
      <c r="L3105" t="s">
        <v>30</v>
      </c>
      <c r="M3105" t="b">
        <v>1</v>
      </c>
      <c r="N3105" t="s">
        <v>7230</v>
      </c>
      <c r="O3105" t="str">
        <f>"259/.23"</f>
        <v>259/.23</v>
      </c>
      <c r="Q3105" t="b">
        <v>0</v>
      </c>
      <c r="S3105" t="str">
        <f>"9780310254850"</f>
        <v>9780310254850</v>
      </c>
      <c r="T3105" t="str">
        <f>"9780310540076"</f>
        <v>9780310540076</v>
      </c>
      <c r="U3105" t="b">
        <v>0</v>
      </c>
      <c r="W3105" t="b">
        <v>0</v>
      </c>
    </row>
    <row r="3106" spans="1:23" x14ac:dyDescent="0.3">
      <c r="A3106">
        <v>1948866</v>
      </c>
      <c r="B3106">
        <v>182.82</v>
      </c>
      <c r="C3106" t="s">
        <v>7231</v>
      </c>
      <c r="E3106" t="s">
        <v>49</v>
      </c>
      <c r="F3106" t="s">
        <v>106</v>
      </c>
      <c r="G3106">
        <v>2018</v>
      </c>
      <c r="H3106" t="s">
        <v>927</v>
      </c>
      <c r="I3106" t="s">
        <v>7232</v>
      </c>
      <c r="K3106" t="s">
        <v>25</v>
      </c>
      <c r="L3106" t="s">
        <v>26</v>
      </c>
      <c r="M3106" t="b">
        <v>1</v>
      </c>
      <c r="N3106" t="s">
        <v>7233</v>
      </c>
      <c r="O3106" t="str">
        <f>"223.205209"</f>
        <v>223.205209</v>
      </c>
      <c r="P3106" t="s">
        <v>6546</v>
      </c>
      <c r="Q3106" t="b">
        <v>0</v>
      </c>
      <c r="S3106" t="str">
        <f>"9780310522072"</f>
        <v>9780310522072</v>
      </c>
      <c r="T3106" t="str">
        <f>"9780310588474"</f>
        <v>9780310588474</v>
      </c>
      <c r="U3106" t="b">
        <v>0</v>
      </c>
      <c r="W3106" t="b">
        <v>0</v>
      </c>
    </row>
    <row r="3107" spans="1:23" x14ac:dyDescent="0.3">
      <c r="A3107">
        <v>1948865</v>
      </c>
      <c r="B3107">
        <v>182.82</v>
      </c>
      <c r="C3107" t="s">
        <v>7234</v>
      </c>
      <c r="D3107" t="s">
        <v>2316</v>
      </c>
      <c r="E3107" t="s">
        <v>49</v>
      </c>
      <c r="F3107" t="s">
        <v>106</v>
      </c>
      <c r="G3107">
        <v>2018</v>
      </c>
      <c r="H3107" t="s">
        <v>6799</v>
      </c>
      <c r="I3107" t="s">
        <v>7235</v>
      </c>
      <c r="K3107" t="s">
        <v>25</v>
      </c>
      <c r="L3107" t="s">
        <v>26</v>
      </c>
      <c r="M3107" t="b">
        <v>1</v>
      </c>
      <c r="N3107" t="s">
        <v>6321</v>
      </c>
      <c r="O3107" t="str">
        <f>"226.5077"</f>
        <v>226.5077</v>
      </c>
      <c r="P3107" t="s">
        <v>6546</v>
      </c>
      <c r="Q3107" t="b">
        <v>0</v>
      </c>
      <c r="S3107" t="str">
        <f>"9780310522164"</f>
        <v>9780310522164</v>
      </c>
      <c r="T3107" t="str">
        <f>"9780310588467"</f>
        <v>9780310588467</v>
      </c>
      <c r="U3107" t="b">
        <v>0</v>
      </c>
      <c r="V3107" t="s">
        <v>940</v>
      </c>
      <c r="W3107" t="b">
        <v>0</v>
      </c>
    </row>
    <row r="3108" spans="1:23" x14ac:dyDescent="0.3">
      <c r="A3108">
        <v>1948864</v>
      </c>
      <c r="B3108">
        <v>155.22</v>
      </c>
      <c r="C3108" t="s">
        <v>7236</v>
      </c>
      <c r="D3108" t="s">
        <v>3445</v>
      </c>
      <c r="E3108" t="s">
        <v>49</v>
      </c>
      <c r="F3108" t="s">
        <v>106</v>
      </c>
      <c r="G3108">
        <v>2018</v>
      </c>
      <c r="H3108" t="s">
        <v>1181</v>
      </c>
      <c r="I3108" t="s">
        <v>7237</v>
      </c>
      <c r="K3108" t="s">
        <v>25</v>
      </c>
      <c r="L3108" t="s">
        <v>26</v>
      </c>
      <c r="M3108" t="b">
        <v>1</v>
      </c>
      <c r="N3108" t="s">
        <v>7238</v>
      </c>
      <c r="O3108" t="str">
        <f>"222.507"</f>
        <v>222.507</v>
      </c>
      <c r="P3108" t="s">
        <v>6546</v>
      </c>
      <c r="Q3108" t="b">
        <v>0</v>
      </c>
      <c r="S3108" t="str">
        <f>"9780310522300"</f>
        <v>9780310522300</v>
      </c>
      <c r="T3108" t="str">
        <f>"9780310588634"</f>
        <v>9780310588634</v>
      </c>
      <c r="U3108" t="b">
        <v>0</v>
      </c>
      <c r="V3108" t="s">
        <v>870</v>
      </c>
      <c r="W3108" t="b">
        <v>0</v>
      </c>
    </row>
    <row r="3109" spans="1:23" x14ac:dyDescent="0.3">
      <c r="A3109">
        <v>1948863</v>
      </c>
      <c r="B3109">
        <v>155.22</v>
      </c>
      <c r="C3109" t="s">
        <v>7239</v>
      </c>
      <c r="E3109" t="s">
        <v>49</v>
      </c>
      <c r="F3109" t="s">
        <v>106</v>
      </c>
      <c r="G3109">
        <v>2018</v>
      </c>
      <c r="H3109" t="s">
        <v>6498</v>
      </c>
      <c r="I3109" t="s">
        <v>7240</v>
      </c>
      <c r="K3109" t="s">
        <v>25</v>
      </c>
      <c r="L3109" t="s">
        <v>26</v>
      </c>
      <c r="M3109" t="b">
        <v>1</v>
      </c>
      <c r="N3109" t="s">
        <v>7241</v>
      </c>
      <c r="O3109" t="str">
        <f>"220.7"</f>
        <v>220.7</v>
      </c>
      <c r="P3109" t="s">
        <v>6546</v>
      </c>
      <c r="Q3109" t="b">
        <v>0</v>
      </c>
      <c r="S3109" t="str">
        <f>"9780310522348"</f>
        <v>9780310522348</v>
      </c>
      <c r="T3109" t="str">
        <f>"9780310588702"</f>
        <v>9780310588702</v>
      </c>
      <c r="U3109" t="b">
        <v>0</v>
      </c>
      <c r="W3109" t="b">
        <v>0</v>
      </c>
    </row>
    <row r="3110" spans="1:23" x14ac:dyDescent="0.3">
      <c r="A3110">
        <v>1948862</v>
      </c>
      <c r="B3110">
        <v>58.62</v>
      </c>
      <c r="C3110" t="s">
        <v>7242</v>
      </c>
      <c r="D3110" t="s">
        <v>7243</v>
      </c>
      <c r="E3110" t="s">
        <v>49</v>
      </c>
      <c r="F3110" t="s">
        <v>44</v>
      </c>
      <c r="G3110">
        <v>2016</v>
      </c>
      <c r="H3110" t="s">
        <v>1235</v>
      </c>
      <c r="I3110" t="s">
        <v>7244</v>
      </c>
      <c r="J3110" t="s">
        <v>7245</v>
      </c>
      <c r="K3110" t="s">
        <v>25</v>
      </c>
      <c r="L3110" t="s">
        <v>26</v>
      </c>
      <c r="M3110" t="b">
        <v>1</v>
      </c>
      <c r="N3110" t="s">
        <v>7246</v>
      </c>
      <c r="O3110" t="str">
        <f>"248.8/408664"</f>
        <v>248.8/408664</v>
      </c>
      <c r="Q3110" t="b">
        <v>0</v>
      </c>
      <c r="S3110" t="str">
        <f>"9780310534198"</f>
        <v>9780310534198</v>
      </c>
      <c r="T3110" t="str">
        <f>"9780310534204"</f>
        <v>9780310534204</v>
      </c>
      <c r="U3110" t="b">
        <v>0</v>
      </c>
      <c r="V3110" t="s">
        <v>7247</v>
      </c>
      <c r="W3110" t="b">
        <v>0</v>
      </c>
    </row>
    <row r="3111" spans="1:23" x14ac:dyDescent="0.3">
      <c r="A3111">
        <v>1948861</v>
      </c>
      <c r="B3111">
        <v>65.52</v>
      </c>
      <c r="C3111" t="s">
        <v>7248</v>
      </c>
      <c r="E3111" t="s">
        <v>49</v>
      </c>
      <c r="F3111" t="s">
        <v>44</v>
      </c>
      <c r="G3111">
        <v>2017</v>
      </c>
      <c r="H3111" t="s">
        <v>58</v>
      </c>
      <c r="I3111" t="s">
        <v>7249</v>
      </c>
      <c r="J3111" t="s">
        <v>7250</v>
      </c>
      <c r="K3111" t="s">
        <v>25</v>
      </c>
      <c r="L3111" t="s">
        <v>30</v>
      </c>
      <c r="M3111" t="b">
        <v>1</v>
      </c>
      <c r="N3111" t="s">
        <v>7251</v>
      </c>
      <c r="O3111" t="str">
        <f>"231.7"</f>
        <v>231.7</v>
      </c>
      <c r="Q3111" t="b">
        <v>0</v>
      </c>
      <c r="S3111" t="str">
        <f>"9780310281313"</f>
        <v>9780310281313</v>
      </c>
      <c r="T3111" t="str">
        <f>"9780310537571"</f>
        <v>9780310537571</v>
      </c>
      <c r="U3111" t="b">
        <v>0</v>
      </c>
      <c r="W3111" t="b">
        <v>0</v>
      </c>
    </row>
    <row r="3112" spans="1:23" x14ac:dyDescent="0.3">
      <c r="A3112">
        <v>1948860</v>
      </c>
      <c r="B3112">
        <v>103.47</v>
      </c>
      <c r="C3112" t="s">
        <v>6339</v>
      </c>
      <c r="E3112" t="s">
        <v>49</v>
      </c>
      <c r="F3112" t="s">
        <v>106</v>
      </c>
      <c r="G3112">
        <v>2017</v>
      </c>
      <c r="H3112" t="s">
        <v>6285</v>
      </c>
      <c r="I3112" t="s">
        <v>7252</v>
      </c>
      <c r="K3112" t="s">
        <v>25</v>
      </c>
      <c r="L3112" t="s">
        <v>26</v>
      </c>
      <c r="M3112" t="b">
        <v>1</v>
      </c>
      <c r="N3112" t="s">
        <v>7253</v>
      </c>
      <c r="O3112" t="str">
        <f>"227.9207"</f>
        <v>227.9207</v>
      </c>
      <c r="P3112" t="s">
        <v>930</v>
      </c>
      <c r="Q3112" t="b">
        <v>0</v>
      </c>
      <c r="S3112" t="str">
        <f>"9780310327301"</f>
        <v>9780310327301</v>
      </c>
      <c r="T3112" t="str">
        <f>"9780310599197"</f>
        <v>9780310599197</v>
      </c>
      <c r="U3112" t="b">
        <v>0</v>
      </c>
      <c r="W3112" t="b">
        <v>0</v>
      </c>
    </row>
    <row r="3113" spans="1:23" x14ac:dyDescent="0.3">
      <c r="A3113">
        <v>1948859</v>
      </c>
      <c r="B3113">
        <v>127.62</v>
      </c>
      <c r="C3113" t="s">
        <v>3419</v>
      </c>
      <c r="E3113" t="s">
        <v>49</v>
      </c>
      <c r="F3113" t="s">
        <v>106</v>
      </c>
      <c r="G3113">
        <v>2017</v>
      </c>
      <c r="H3113" t="s">
        <v>5766</v>
      </c>
      <c r="I3113" t="s">
        <v>7254</v>
      </c>
      <c r="K3113" t="s">
        <v>25</v>
      </c>
      <c r="L3113" t="s">
        <v>26</v>
      </c>
      <c r="M3113" t="b">
        <v>1</v>
      </c>
      <c r="N3113" t="s">
        <v>7255</v>
      </c>
      <c r="O3113" t="str">
        <f>"226.207"</f>
        <v>226.207</v>
      </c>
      <c r="P3113" t="s">
        <v>6296</v>
      </c>
      <c r="Q3113" t="b">
        <v>0</v>
      </c>
      <c r="S3113" t="str">
        <f>"9780310327141"</f>
        <v>9780310327141</v>
      </c>
      <c r="T3113" t="str">
        <f>"9780310537793"</f>
        <v>9780310537793</v>
      </c>
      <c r="U3113" t="b">
        <v>0</v>
      </c>
      <c r="W3113" t="b">
        <v>0</v>
      </c>
    </row>
    <row r="3114" spans="1:23" x14ac:dyDescent="0.3">
      <c r="A3114">
        <v>1948858</v>
      </c>
      <c r="B3114">
        <v>120.72</v>
      </c>
      <c r="C3114" t="s">
        <v>7256</v>
      </c>
      <c r="E3114" t="s">
        <v>49</v>
      </c>
      <c r="F3114" t="s">
        <v>106</v>
      </c>
      <c r="G3114">
        <v>2017</v>
      </c>
      <c r="H3114" t="s">
        <v>5760</v>
      </c>
      <c r="I3114" t="s">
        <v>7257</v>
      </c>
      <c r="J3114" t="s">
        <v>7258</v>
      </c>
      <c r="K3114" t="s">
        <v>25</v>
      </c>
      <c r="L3114" t="s">
        <v>26</v>
      </c>
      <c r="M3114" t="b">
        <v>1</v>
      </c>
      <c r="N3114" t="s">
        <v>7259</v>
      </c>
      <c r="O3114" t="str">
        <f>"234.8"</f>
        <v>234.8</v>
      </c>
      <c r="P3114" t="s">
        <v>7260</v>
      </c>
      <c r="Q3114" t="b">
        <v>0</v>
      </c>
      <c r="S3114" t="str">
        <f>"9780310491460"</f>
        <v>9780310491460</v>
      </c>
      <c r="T3114" t="str">
        <f>"9780310491477"</f>
        <v>9780310491477</v>
      </c>
      <c r="U3114" t="b">
        <v>0</v>
      </c>
      <c r="W3114" t="b">
        <v>0</v>
      </c>
    </row>
    <row r="3115" spans="1:23" x14ac:dyDescent="0.3">
      <c r="A3115">
        <v>1948857</v>
      </c>
      <c r="B3115">
        <v>110.37</v>
      </c>
      <c r="C3115" t="s">
        <v>7261</v>
      </c>
      <c r="E3115" t="s">
        <v>49</v>
      </c>
      <c r="F3115" t="s">
        <v>106</v>
      </c>
      <c r="G3115">
        <v>2017</v>
      </c>
      <c r="H3115" t="s">
        <v>1181</v>
      </c>
      <c r="I3115" t="s">
        <v>7262</v>
      </c>
      <c r="K3115" t="s">
        <v>25</v>
      </c>
      <c r="L3115" t="s">
        <v>26</v>
      </c>
      <c r="M3115" t="b">
        <v>1</v>
      </c>
      <c r="N3115" t="s">
        <v>7263</v>
      </c>
      <c r="O3115" t="str">
        <f>"223.7"</f>
        <v>223.7</v>
      </c>
      <c r="P3115" t="s">
        <v>930</v>
      </c>
      <c r="Q3115" t="b">
        <v>0</v>
      </c>
      <c r="S3115" t="str">
        <f>"9780310491132"</f>
        <v>9780310491132</v>
      </c>
      <c r="T3115" t="str">
        <f>"9780310491149"</f>
        <v>9780310491149</v>
      </c>
      <c r="U3115" t="b">
        <v>0</v>
      </c>
      <c r="W3115" t="b">
        <v>0</v>
      </c>
    </row>
    <row r="3116" spans="1:23" x14ac:dyDescent="0.3">
      <c r="A3116">
        <v>1948856</v>
      </c>
      <c r="B3116">
        <v>51.72</v>
      </c>
      <c r="C3116" t="s">
        <v>7264</v>
      </c>
      <c r="D3116" t="s">
        <v>7265</v>
      </c>
      <c r="E3116" t="s">
        <v>23</v>
      </c>
      <c r="F3116" t="s">
        <v>44</v>
      </c>
      <c r="G3116">
        <v>2017</v>
      </c>
      <c r="H3116" t="s">
        <v>804</v>
      </c>
      <c r="I3116" t="s">
        <v>3448</v>
      </c>
      <c r="J3116" t="s">
        <v>895</v>
      </c>
      <c r="K3116" t="s">
        <v>25</v>
      </c>
      <c r="L3116" t="s">
        <v>26</v>
      </c>
      <c r="M3116" t="b">
        <v>1</v>
      </c>
      <c r="N3116" t="s">
        <v>795</v>
      </c>
      <c r="O3116" t="str">
        <f>"253"</f>
        <v>253</v>
      </c>
      <c r="Q3116" t="b">
        <v>0</v>
      </c>
      <c r="S3116" t="str">
        <f>"9780310538301"</f>
        <v>9780310538301</v>
      </c>
      <c r="T3116" t="str">
        <f>"9780310538325"</f>
        <v>9780310538325</v>
      </c>
      <c r="U3116" t="b">
        <v>0</v>
      </c>
      <c r="W3116" t="b">
        <v>0</v>
      </c>
    </row>
    <row r="3117" spans="1:23" x14ac:dyDescent="0.3">
      <c r="A3117">
        <v>1948855</v>
      </c>
      <c r="B3117">
        <v>120.78</v>
      </c>
      <c r="C3117" t="s">
        <v>7266</v>
      </c>
      <c r="D3117" t="s">
        <v>7267</v>
      </c>
      <c r="E3117" t="s">
        <v>49</v>
      </c>
      <c r="F3117" t="s">
        <v>106</v>
      </c>
      <c r="G3117">
        <v>2012</v>
      </c>
      <c r="H3117" t="s">
        <v>893</v>
      </c>
      <c r="I3117" t="s">
        <v>7268</v>
      </c>
      <c r="J3117" t="s">
        <v>7269</v>
      </c>
      <c r="K3117" t="s">
        <v>25</v>
      </c>
      <c r="L3117" t="s">
        <v>26</v>
      </c>
      <c r="M3117" t="b">
        <v>1</v>
      </c>
      <c r="N3117" t="s">
        <v>7270</v>
      </c>
      <c r="O3117" t="str">
        <f>"487/.4"</f>
        <v>487/.4</v>
      </c>
      <c r="Q3117" t="b">
        <v>0</v>
      </c>
      <c r="S3117" t="str">
        <f>"9780310493921"</f>
        <v>9780310493921</v>
      </c>
      <c r="T3117" t="str">
        <f>"9780310531050"</f>
        <v>9780310531050</v>
      </c>
      <c r="U3117" t="b">
        <v>0</v>
      </c>
      <c r="W3117" t="b">
        <v>0</v>
      </c>
    </row>
    <row r="3118" spans="1:23" x14ac:dyDescent="0.3">
      <c r="A3118">
        <v>1948854</v>
      </c>
      <c r="B3118">
        <v>182.82</v>
      </c>
      <c r="C3118" t="s">
        <v>7271</v>
      </c>
      <c r="E3118" t="s">
        <v>49</v>
      </c>
      <c r="F3118" t="s">
        <v>106</v>
      </c>
      <c r="G3118">
        <v>2018</v>
      </c>
      <c r="H3118" t="s">
        <v>1181</v>
      </c>
      <c r="I3118" t="s">
        <v>7272</v>
      </c>
      <c r="K3118" t="s">
        <v>25</v>
      </c>
      <c r="L3118" t="s">
        <v>26</v>
      </c>
      <c r="M3118" t="b">
        <v>1</v>
      </c>
      <c r="N3118" t="s">
        <v>7273</v>
      </c>
      <c r="O3118" t="str">
        <f>"222.13077"</f>
        <v>222.13077</v>
      </c>
      <c r="P3118" t="s">
        <v>6546</v>
      </c>
      <c r="Q3118" t="b">
        <v>0</v>
      </c>
      <c r="S3118" t="str">
        <f>"9780310521976"</f>
        <v>9780310521976</v>
      </c>
      <c r="T3118" t="str">
        <f>"9780310588436"</f>
        <v>9780310588436</v>
      </c>
      <c r="U3118" t="b">
        <v>0</v>
      </c>
      <c r="W3118" t="b">
        <v>0</v>
      </c>
    </row>
    <row r="3119" spans="1:23" x14ac:dyDescent="0.3">
      <c r="A3119">
        <v>1948853</v>
      </c>
      <c r="B3119">
        <v>62.07</v>
      </c>
      <c r="C3119" t="s">
        <v>7274</v>
      </c>
      <c r="D3119" t="s">
        <v>7275</v>
      </c>
      <c r="E3119" t="s">
        <v>23</v>
      </c>
      <c r="F3119" t="s">
        <v>44</v>
      </c>
      <c r="G3119">
        <v>2018</v>
      </c>
      <c r="H3119" t="s">
        <v>736</v>
      </c>
      <c r="I3119" t="s">
        <v>7276</v>
      </c>
      <c r="J3119" t="s">
        <v>7277</v>
      </c>
      <c r="K3119" t="s">
        <v>25</v>
      </c>
      <c r="L3119" t="s">
        <v>26</v>
      </c>
      <c r="M3119" t="b">
        <v>1</v>
      </c>
      <c r="N3119" t="s">
        <v>7278</v>
      </c>
      <c r="O3119" t="str">
        <f>"248.88"</f>
        <v>248.88</v>
      </c>
      <c r="Q3119" t="b">
        <v>0</v>
      </c>
      <c r="S3119" t="str">
        <f>"9780310562078"</f>
        <v>9780310562078</v>
      </c>
      <c r="T3119" t="str">
        <f>"9780310565642"</f>
        <v>9780310565642</v>
      </c>
      <c r="U3119" t="b">
        <v>0</v>
      </c>
      <c r="W3119" t="b">
        <v>0</v>
      </c>
    </row>
    <row r="3120" spans="1:23" x14ac:dyDescent="0.3">
      <c r="A3120">
        <v>1948852</v>
      </c>
      <c r="B3120">
        <v>51.72</v>
      </c>
      <c r="C3120" t="s">
        <v>7261</v>
      </c>
      <c r="E3120" t="s">
        <v>49</v>
      </c>
      <c r="F3120" t="s">
        <v>44</v>
      </c>
      <c r="G3120">
        <v>2009</v>
      </c>
      <c r="H3120" t="s">
        <v>50</v>
      </c>
      <c r="K3120" t="s">
        <v>25</v>
      </c>
      <c r="L3120" t="s">
        <v>30</v>
      </c>
      <c r="M3120" t="b">
        <v>1</v>
      </c>
      <c r="N3120" t="s">
        <v>7279</v>
      </c>
      <c r="P3120" t="s">
        <v>7146</v>
      </c>
      <c r="Q3120" t="b">
        <v>0</v>
      </c>
      <c r="S3120" t="str">
        <f>"9780310285489"</f>
        <v>9780310285489</v>
      </c>
      <c r="T3120" t="str">
        <f>"9780310867456"</f>
        <v>9780310867456</v>
      </c>
      <c r="U3120" t="b">
        <v>0</v>
      </c>
      <c r="W3120" t="b">
        <v>0</v>
      </c>
    </row>
    <row r="3121" spans="1:23" x14ac:dyDescent="0.3">
      <c r="A3121">
        <v>1948851</v>
      </c>
      <c r="B3121">
        <v>34.47</v>
      </c>
      <c r="C3121" t="s">
        <v>3420</v>
      </c>
      <c r="E3121" t="s">
        <v>49</v>
      </c>
      <c r="F3121" t="s">
        <v>44</v>
      </c>
      <c r="G3121">
        <v>2010</v>
      </c>
      <c r="H3121" t="s">
        <v>50</v>
      </c>
      <c r="K3121" t="s">
        <v>25</v>
      </c>
      <c r="L3121" t="s">
        <v>30</v>
      </c>
      <c r="M3121" t="b">
        <v>1</v>
      </c>
      <c r="N3121" t="s">
        <v>6237</v>
      </c>
      <c r="P3121" t="s">
        <v>7146</v>
      </c>
      <c r="Q3121" t="b">
        <v>0</v>
      </c>
      <c r="S3121" t="str">
        <f>"9780310668749"</f>
        <v>9780310668749</v>
      </c>
      <c r="T3121" t="str">
        <f>"9780310599982"</f>
        <v>9780310599982</v>
      </c>
      <c r="U3121" t="b">
        <v>0</v>
      </c>
      <c r="W3121" t="b">
        <v>0</v>
      </c>
    </row>
    <row r="3122" spans="1:23" x14ac:dyDescent="0.3">
      <c r="A3122">
        <v>1948849</v>
      </c>
      <c r="B3122">
        <v>44.82</v>
      </c>
      <c r="C3122" t="s">
        <v>3419</v>
      </c>
      <c r="E3122" t="s">
        <v>49</v>
      </c>
      <c r="F3122" t="s">
        <v>44</v>
      </c>
      <c r="G3122">
        <v>2014</v>
      </c>
      <c r="H3122" t="s">
        <v>50</v>
      </c>
      <c r="K3122" t="s">
        <v>25</v>
      </c>
      <c r="L3122" t="s">
        <v>30</v>
      </c>
      <c r="M3122" t="b">
        <v>1</v>
      </c>
      <c r="N3122" t="s">
        <v>7280</v>
      </c>
      <c r="P3122" t="s">
        <v>7146</v>
      </c>
      <c r="Q3122" t="b">
        <v>0</v>
      </c>
      <c r="S3122" t="str">
        <f>"9780310516750"</f>
        <v>9780310516750</v>
      </c>
      <c r="T3122" t="str">
        <f>"9780310516767"</f>
        <v>9780310516767</v>
      </c>
      <c r="U3122" t="b">
        <v>0</v>
      </c>
      <c r="W3122" t="b">
        <v>0</v>
      </c>
    </row>
    <row r="3123" spans="1:23" x14ac:dyDescent="0.3">
      <c r="A3123">
        <v>1948848</v>
      </c>
      <c r="B3123">
        <v>10.63</v>
      </c>
      <c r="C3123" t="s">
        <v>7281</v>
      </c>
      <c r="D3123" t="s">
        <v>6489</v>
      </c>
      <c r="E3123" t="s">
        <v>23</v>
      </c>
      <c r="F3123" t="s">
        <v>106</v>
      </c>
      <c r="G3123">
        <v>2012</v>
      </c>
      <c r="H3123" t="s">
        <v>3423</v>
      </c>
      <c r="I3123" t="s">
        <v>6764</v>
      </c>
      <c r="K3123" t="s">
        <v>25</v>
      </c>
      <c r="L3123" t="s">
        <v>30</v>
      </c>
      <c r="M3123" t="b">
        <v>1</v>
      </c>
      <c r="N3123" t="s">
        <v>7282</v>
      </c>
      <c r="O3123" t="str">
        <f>"221.6/1"</f>
        <v>221.6/1</v>
      </c>
      <c r="P3123" t="s">
        <v>7283</v>
      </c>
      <c r="Q3123" t="b">
        <v>0</v>
      </c>
      <c r="T3123" t="str">
        <f>"9780310496434"</f>
        <v>9780310496434</v>
      </c>
      <c r="U3123" t="b">
        <v>0</v>
      </c>
      <c r="W3123" t="b">
        <v>0</v>
      </c>
    </row>
    <row r="3124" spans="1:23" x14ac:dyDescent="0.3">
      <c r="A3124">
        <v>1948840</v>
      </c>
      <c r="B3124">
        <v>58.62</v>
      </c>
      <c r="C3124" t="s">
        <v>7284</v>
      </c>
      <c r="D3124" t="s">
        <v>7285</v>
      </c>
      <c r="E3124" t="s">
        <v>49</v>
      </c>
      <c r="F3124" t="s">
        <v>44</v>
      </c>
      <c r="G3124">
        <v>2012</v>
      </c>
      <c r="H3124" t="s">
        <v>50</v>
      </c>
      <c r="K3124" t="s">
        <v>25</v>
      </c>
      <c r="L3124" t="s">
        <v>30</v>
      </c>
      <c r="M3124" t="b">
        <v>1</v>
      </c>
      <c r="N3124" t="s">
        <v>3427</v>
      </c>
      <c r="P3124" t="s">
        <v>3425</v>
      </c>
      <c r="Q3124" t="b">
        <v>0</v>
      </c>
      <c r="S3124" t="str">
        <f>"9780310671190"</f>
        <v>9780310671190</v>
      </c>
      <c r="T3124" t="str">
        <f>"9780310671206"</f>
        <v>9780310671206</v>
      </c>
      <c r="U3124" t="b">
        <v>0</v>
      </c>
      <c r="W3124" t="b">
        <v>0</v>
      </c>
    </row>
    <row r="3125" spans="1:23" x14ac:dyDescent="0.3">
      <c r="A3125">
        <v>1948839</v>
      </c>
      <c r="B3125">
        <v>37.92</v>
      </c>
      <c r="C3125" t="s">
        <v>3431</v>
      </c>
      <c r="E3125" t="s">
        <v>49</v>
      </c>
      <c r="F3125" t="s">
        <v>44</v>
      </c>
      <c r="G3125">
        <v>2012</v>
      </c>
      <c r="H3125" t="s">
        <v>50</v>
      </c>
      <c r="K3125" t="s">
        <v>25</v>
      </c>
      <c r="L3125" t="s">
        <v>30</v>
      </c>
      <c r="M3125" t="b">
        <v>1</v>
      </c>
      <c r="N3125" t="s">
        <v>7280</v>
      </c>
      <c r="P3125" t="s">
        <v>7146</v>
      </c>
      <c r="Q3125" t="b">
        <v>0</v>
      </c>
      <c r="S3125" t="str">
        <f>"9780310889830"</f>
        <v>9780310889830</v>
      </c>
      <c r="T3125" t="str">
        <f>"9780310889847"</f>
        <v>9780310889847</v>
      </c>
      <c r="U3125" t="b">
        <v>0</v>
      </c>
      <c r="W3125" t="b">
        <v>0</v>
      </c>
    </row>
    <row r="3126" spans="1:23" x14ac:dyDescent="0.3">
      <c r="A3126">
        <v>1948838</v>
      </c>
      <c r="B3126">
        <v>68.97</v>
      </c>
      <c r="C3126" t="s">
        <v>7286</v>
      </c>
      <c r="D3126" t="s">
        <v>7287</v>
      </c>
      <c r="E3126" t="s">
        <v>49</v>
      </c>
      <c r="F3126" t="s">
        <v>44</v>
      </c>
      <c r="G3126">
        <v>2009</v>
      </c>
      <c r="H3126" t="s">
        <v>1181</v>
      </c>
      <c r="I3126" t="s">
        <v>7288</v>
      </c>
      <c r="J3126" t="s">
        <v>895</v>
      </c>
      <c r="K3126" t="s">
        <v>25</v>
      </c>
      <c r="L3126" t="s">
        <v>30</v>
      </c>
      <c r="M3126" t="b">
        <v>1</v>
      </c>
      <c r="N3126" t="s">
        <v>7289</v>
      </c>
      <c r="O3126" t="str">
        <f>"268/.635"</f>
        <v>268/.635</v>
      </c>
      <c r="Q3126" t="b">
        <v>0</v>
      </c>
      <c r="S3126" t="str">
        <f>"9780310515357"</f>
        <v>9780310515357</v>
      </c>
      <c r="T3126" t="str">
        <f>"9780310315377"</f>
        <v>9780310315377</v>
      </c>
      <c r="U3126" t="b">
        <v>0</v>
      </c>
      <c r="W3126" t="b">
        <v>0</v>
      </c>
    </row>
    <row r="3127" spans="1:23" x14ac:dyDescent="0.3">
      <c r="A3127">
        <v>1948837</v>
      </c>
      <c r="B3127">
        <v>68.97</v>
      </c>
      <c r="C3127" t="s">
        <v>7290</v>
      </c>
      <c r="D3127" t="s">
        <v>7291</v>
      </c>
      <c r="E3127" t="s">
        <v>49</v>
      </c>
      <c r="F3127" t="s">
        <v>44</v>
      </c>
      <c r="G3127">
        <v>2011</v>
      </c>
      <c r="H3127" t="s">
        <v>107</v>
      </c>
      <c r="I3127" t="s">
        <v>7292</v>
      </c>
      <c r="J3127" t="s">
        <v>7293</v>
      </c>
      <c r="K3127" t="s">
        <v>25</v>
      </c>
      <c r="L3127" t="s">
        <v>30</v>
      </c>
      <c r="M3127" t="b">
        <v>1</v>
      </c>
      <c r="N3127" t="s">
        <v>120</v>
      </c>
      <c r="O3127" t="str">
        <f>"261.56"</f>
        <v>261.56</v>
      </c>
      <c r="Q3127" t="b">
        <v>0</v>
      </c>
      <c r="S3127" t="str">
        <f>"9780310329039"</f>
        <v>9780310329039</v>
      </c>
      <c r="T3127" t="str">
        <f>"9780310591696"</f>
        <v>9780310591696</v>
      </c>
      <c r="U3127" t="b">
        <v>0</v>
      </c>
      <c r="W3127" t="b">
        <v>0</v>
      </c>
    </row>
    <row r="3128" spans="1:23" x14ac:dyDescent="0.3">
      <c r="A3128">
        <v>1948836</v>
      </c>
      <c r="B3128">
        <v>68.97</v>
      </c>
      <c r="C3128" t="s">
        <v>7294</v>
      </c>
      <c r="D3128" t="s">
        <v>7295</v>
      </c>
      <c r="E3128" t="s">
        <v>49</v>
      </c>
      <c r="F3128" t="s">
        <v>44</v>
      </c>
      <c r="G3128">
        <v>2006</v>
      </c>
      <c r="H3128" t="s">
        <v>3415</v>
      </c>
      <c r="I3128" t="s">
        <v>6491</v>
      </c>
      <c r="K3128" t="s">
        <v>25</v>
      </c>
      <c r="L3128" t="s">
        <v>26</v>
      </c>
      <c r="M3128" t="b">
        <v>1</v>
      </c>
      <c r="N3128" t="s">
        <v>7296</v>
      </c>
      <c r="O3128" t="str">
        <f>"220.6/1"</f>
        <v>220.6/1</v>
      </c>
      <c r="P3128" t="s">
        <v>7297</v>
      </c>
      <c r="Q3128" t="b">
        <v>0</v>
      </c>
      <c r="S3128" t="str">
        <f>"9780310266624"</f>
        <v>9780310266624</v>
      </c>
      <c r="T3128" t="str">
        <f>"9780310303268"</f>
        <v>9780310303268</v>
      </c>
      <c r="U3128" t="b">
        <v>0</v>
      </c>
      <c r="W3128" t="b">
        <v>0</v>
      </c>
    </row>
    <row r="3129" spans="1:23" x14ac:dyDescent="0.3">
      <c r="A3129">
        <v>1948835</v>
      </c>
      <c r="B3129">
        <v>65.52</v>
      </c>
      <c r="C3129" t="s">
        <v>7298</v>
      </c>
      <c r="D3129" t="s">
        <v>7299</v>
      </c>
      <c r="E3129" t="s">
        <v>49</v>
      </c>
      <c r="F3129" t="s">
        <v>44</v>
      </c>
      <c r="G3129">
        <v>2003</v>
      </c>
      <c r="H3129" t="s">
        <v>5369</v>
      </c>
      <c r="I3129" t="s">
        <v>7300</v>
      </c>
      <c r="J3129" t="s">
        <v>7301</v>
      </c>
      <c r="K3129" t="s">
        <v>25</v>
      </c>
      <c r="L3129" t="s">
        <v>30</v>
      </c>
      <c r="M3129" t="b">
        <v>1</v>
      </c>
      <c r="N3129" t="s">
        <v>910</v>
      </c>
      <c r="O3129" t="str">
        <f>"250"</f>
        <v>250</v>
      </c>
      <c r="Q3129" t="b">
        <v>0</v>
      </c>
      <c r="S3129" t="str">
        <f>"9780310245643"</f>
        <v>9780310245643</v>
      </c>
      <c r="T3129" t="str">
        <f>"9780310861782"</f>
        <v>9780310861782</v>
      </c>
      <c r="U3129" t="b">
        <v>0</v>
      </c>
      <c r="W3129" t="b">
        <v>0</v>
      </c>
    </row>
    <row r="3130" spans="1:23" x14ac:dyDescent="0.3">
      <c r="A3130">
        <v>1948834</v>
      </c>
      <c r="B3130">
        <v>37.92</v>
      </c>
      <c r="C3130" t="s">
        <v>7302</v>
      </c>
      <c r="D3130" t="s">
        <v>7303</v>
      </c>
      <c r="E3130" t="s">
        <v>23</v>
      </c>
      <c r="F3130" t="s">
        <v>44</v>
      </c>
      <c r="G3130">
        <v>2009</v>
      </c>
      <c r="H3130" t="s">
        <v>2702</v>
      </c>
      <c r="K3130" t="s">
        <v>25</v>
      </c>
      <c r="L3130" t="s">
        <v>30</v>
      </c>
      <c r="M3130" t="b">
        <v>1</v>
      </c>
      <c r="N3130" t="s">
        <v>51</v>
      </c>
      <c r="Q3130" t="b">
        <v>0</v>
      </c>
      <c r="S3130" t="str">
        <f>"9780310271604"</f>
        <v>9780310271604</v>
      </c>
      <c r="T3130" t="str">
        <f>"9780310861126"</f>
        <v>9780310861126</v>
      </c>
      <c r="U3130" t="b">
        <v>0</v>
      </c>
      <c r="W3130" t="b">
        <v>0</v>
      </c>
    </row>
    <row r="3131" spans="1:23" x14ac:dyDescent="0.3">
      <c r="A3131">
        <v>1948811</v>
      </c>
      <c r="B3131">
        <v>58.62</v>
      </c>
      <c r="C3131" t="s">
        <v>7304</v>
      </c>
      <c r="D3131" t="s">
        <v>7305</v>
      </c>
      <c r="E3131" t="s">
        <v>23</v>
      </c>
      <c r="F3131" t="s">
        <v>44</v>
      </c>
      <c r="G3131">
        <v>2009</v>
      </c>
      <c r="H3131" t="s">
        <v>2702</v>
      </c>
      <c r="K3131" t="s">
        <v>25</v>
      </c>
      <c r="L3131" t="s">
        <v>30</v>
      </c>
      <c r="M3131" t="b">
        <v>1</v>
      </c>
      <c r="N3131" t="s">
        <v>7306</v>
      </c>
      <c r="Q3131" t="b">
        <v>0</v>
      </c>
      <c r="S3131" t="str">
        <f>"9780310254997"</f>
        <v>9780310254997</v>
      </c>
      <c r="T3131" t="str">
        <f>"9780310862956"</f>
        <v>9780310862956</v>
      </c>
      <c r="U3131" t="b">
        <v>0</v>
      </c>
      <c r="W3131" t="b">
        <v>0</v>
      </c>
    </row>
    <row r="3132" spans="1:23" x14ac:dyDescent="0.3">
      <c r="A3132">
        <v>1948810</v>
      </c>
      <c r="B3132">
        <v>58.62</v>
      </c>
      <c r="C3132" t="s">
        <v>2715</v>
      </c>
      <c r="E3132" t="s">
        <v>49</v>
      </c>
      <c r="F3132" t="s">
        <v>44</v>
      </c>
      <c r="G3132">
        <v>2012</v>
      </c>
      <c r="H3132" t="s">
        <v>1122</v>
      </c>
      <c r="I3132" t="s">
        <v>7307</v>
      </c>
      <c r="J3132" t="s">
        <v>2717</v>
      </c>
      <c r="K3132" t="s">
        <v>25</v>
      </c>
      <c r="L3132" t="s">
        <v>26</v>
      </c>
      <c r="M3132" t="b">
        <v>1</v>
      </c>
      <c r="N3132" t="s">
        <v>2718</v>
      </c>
      <c r="O3132" t="str">
        <f>"253/.7"</f>
        <v>253/.7</v>
      </c>
      <c r="P3132" t="s">
        <v>7213</v>
      </c>
      <c r="Q3132" t="b">
        <v>0</v>
      </c>
      <c r="S3132" t="str">
        <f>"9780310331254"</f>
        <v>9780310331254</v>
      </c>
      <c r="T3132" t="str">
        <f>"9780310423423"</f>
        <v>9780310423423</v>
      </c>
      <c r="U3132" t="b">
        <v>0</v>
      </c>
      <c r="W3132" t="b">
        <v>0</v>
      </c>
    </row>
    <row r="3133" spans="1:23" x14ac:dyDescent="0.3">
      <c r="A3133">
        <v>1948809</v>
      </c>
      <c r="B3133">
        <v>68.97</v>
      </c>
      <c r="C3133" t="s">
        <v>7308</v>
      </c>
      <c r="E3133" t="s">
        <v>49</v>
      </c>
      <c r="F3133" t="s">
        <v>106</v>
      </c>
      <c r="G3133">
        <v>2010</v>
      </c>
      <c r="H3133" t="s">
        <v>53</v>
      </c>
      <c r="I3133" t="s">
        <v>7309</v>
      </c>
      <c r="K3133" t="s">
        <v>25</v>
      </c>
      <c r="L3133" t="s">
        <v>30</v>
      </c>
      <c r="M3133" t="b">
        <v>1</v>
      </c>
      <c r="N3133" t="s">
        <v>7310</v>
      </c>
      <c r="O3133" t="str">
        <f>"228/.07"</f>
        <v>228/.07</v>
      </c>
      <c r="P3133" t="s">
        <v>6463</v>
      </c>
      <c r="Q3133" t="b">
        <v>0</v>
      </c>
      <c r="S3133" t="str">
        <f>"9780310210801"</f>
        <v>9780310210801</v>
      </c>
      <c r="T3133" t="str">
        <f>"9780310872399"</f>
        <v>9780310872399</v>
      </c>
      <c r="U3133" t="b">
        <v>0</v>
      </c>
      <c r="W3133" t="b">
        <v>0</v>
      </c>
    </row>
    <row r="3134" spans="1:23" x14ac:dyDescent="0.3">
      <c r="A3134">
        <v>1948808</v>
      </c>
      <c r="B3134">
        <v>96.57</v>
      </c>
      <c r="C3134" t="s">
        <v>7311</v>
      </c>
      <c r="D3134" t="s">
        <v>7312</v>
      </c>
      <c r="E3134" t="s">
        <v>49</v>
      </c>
      <c r="F3134" t="s">
        <v>106</v>
      </c>
      <c r="G3134">
        <v>1995</v>
      </c>
      <c r="H3134" t="s">
        <v>76</v>
      </c>
      <c r="I3134" t="s">
        <v>7313</v>
      </c>
      <c r="K3134" t="s">
        <v>25</v>
      </c>
      <c r="L3134" t="s">
        <v>30</v>
      </c>
      <c r="M3134" t="b">
        <v>1</v>
      </c>
      <c r="N3134" t="s">
        <v>7314</v>
      </c>
      <c r="O3134" t="str">
        <f>"230"</f>
        <v>230</v>
      </c>
      <c r="Q3134" t="b">
        <v>0</v>
      </c>
      <c r="S3134" t="str">
        <f>"9780310232025"</f>
        <v>9780310232025</v>
      </c>
      <c r="T3134" t="str">
        <f>"9780310877219"</f>
        <v>9780310877219</v>
      </c>
      <c r="U3134" t="b">
        <v>0</v>
      </c>
      <c r="W3134" t="b">
        <v>0</v>
      </c>
    </row>
    <row r="3135" spans="1:23" x14ac:dyDescent="0.3">
      <c r="A3135">
        <v>1948807</v>
      </c>
      <c r="B3135">
        <v>58.62</v>
      </c>
      <c r="C3135" t="s">
        <v>7209</v>
      </c>
      <c r="D3135" t="s">
        <v>7315</v>
      </c>
      <c r="E3135" t="s">
        <v>49</v>
      </c>
      <c r="F3135" t="s">
        <v>44</v>
      </c>
      <c r="G3135">
        <v>2012</v>
      </c>
      <c r="H3135" t="s">
        <v>2702</v>
      </c>
      <c r="I3135" t="s">
        <v>3448</v>
      </c>
      <c r="J3135" t="s">
        <v>895</v>
      </c>
      <c r="K3135" t="s">
        <v>25</v>
      </c>
      <c r="L3135" t="s">
        <v>30</v>
      </c>
      <c r="M3135" t="b">
        <v>1</v>
      </c>
      <c r="N3135" t="s">
        <v>7212</v>
      </c>
      <c r="O3135" t="str">
        <f>"253/.7"</f>
        <v>253/.7</v>
      </c>
      <c r="P3135" t="s">
        <v>7316</v>
      </c>
      <c r="Q3135" t="b">
        <v>0</v>
      </c>
      <c r="S3135" t="str">
        <f>"9780310331247"</f>
        <v>9780310331247</v>
      </c>
      <c r="T3135" t="str">
        <f>"9780310423393"</f>
        <v>9780310423393</v>
      </c>
      <c r="U3135" t="b">
        <v>0</v>
      </c>
      <c r="W3135" t="b">
        <v>0</v>
      </c>
    </row>
    <row r="3136" spans="1:23" x14ac:dyDescent="0.3">
      <c r="A3136">
        <v>1948729</v>
      </c>
      <c r="B3136">
        <v>55.17</v>
      </c>
      <c r="C3136" t="s">
        <v>7317</v>
      </c>
      <c r="D3136" t="s">
        <v>7318</v>
      </c>
      <c r="E3136" t="s">
        <v>49</v>
      </c>
      <c r="F3136" t="s">
        <v>44</v>
      </c>
      <c r="G3136">
        <v>2016</v>
      </c>
      <c r="H3136" t="s">
        <v>822</v>
      </c>
      <c r="I3136" t="s">
        <v>7319</v>
      </c>
      <c r="J3136" t="s">
        <v>7320</v>
      </c>
      <c r="K3136" t="s">
        <v>25</v>
      </c>
      <c r="L3136" t="s">
        <v>26</v>
      </c>
      <c r="M3136" t="b">
        <v>1</v>
      </c>
      <c r="N3136" t="s">
        <v>3772</v>
      </c>
      <c r="O3136" t="str">
        <f>"253"</f>
        <v>253</v>
      </c>
      <c r="P3136" t="s">
        <v>7321</v>
      </c>
      <c r="Q3136" t="b">
        <v>0</v>
      </c>
      <c r="S3136" t="str">
        <f>"9780310520597"</f>
        <v>9780310520597</v>
      </c>
      <c r="T3136" t="str">
        <f>"9780310520610"</f>
        <v>9780310520610</v>
      </c>
      <c r="U3136" t="b">
        <v>0</v>
      </c>
      <c r="W3136" t="b">
        <v>0</v>
      </c>
    </row>
    <row r="3137" spans="1:23" x14ac:dyDescent="0.3">
      <c r="A3137">
        <v>1948728</v>
      </c>
      <c r="B3137">
        <v>65.52</v>
      </c>
      <c r="C3137" t="s">
        <v>7322</v>
      </c>
      <c r="D3137" t="s">
        <v>7318</v>
      </c>
      <c r="E3137" t="s">
        <v>49</v>
      </c>
      <c r="F3137" t="s">
        <v>44</v>
      </c>
      <c r="G3137">
        <v>2016</v>
      </c>
      <c r="H3137" t="s">
        <v>822</v>
      </c>
      <c r="I3137" t="s">
        <v>7323</v>
      </c>
      <c r="J3137" t="s">
        <v>7320</v>
      </c>
      <c r="K3137" t="s">
        <v>25</v>
      </c>
      <c r="L3137" t="s">
        <v>26</v>
      </c>
      <c r="M3137" t="b">
        <v>1</v>
      </c>
      <c r="N3137" t="s">
        <v>3772</v>
      </c>
      <c r="O3137" t="str">
        <f>"253"</f>
        <v>253</v>
      </c>
      <c r="P3137" t="s">
        <v>7321</v>
      </c>
      <c r="Q3137" t="b">
        <v>0</v>
      </c>
      <c r="S3137" t="str">
        <f>"9780310520573"</f>
        <v>9780310520573</v>
      </c>
      <c r="T3137" t="str">
        <f>"9780310520580"</f>
        <v>9780310520580</v>
      </c>
      <c r="U3137" t="b">
        <v>0</v>
      </c>
      <c r="W3137" t="b">
        <v>0</v>
      </c>
    </row>
    <row r="3138" spans="1:23" x14ac:dyDescent="0.3">
      <c r="A3138">
        <v>1948727</v>
      </c>
      <c r="B3138">
        <v>65.52</v>
      </c>
      <c r="C3138" t="s">
        <v>7324</v>
      </c>
      <c r="D3138" t="s">
        <v>7318</v>
      </c>
      <c r="E3138" t="s">
        <v>49</v>
      </c>
      <c r="F3138" t="s">
        <v>44</v>
      </c>
      <c r="G3138">
        <v>2016</v>
      </c>
      <c r="H3138" t="s">
        <v>1122</v>
      </c>
      <c r="I3138" t="s">
        <v>7323</v>
      </c>
      <c r="J3138" t="s">
        <v>7325</v>
      </c>
      <c r="K3138" t="s">
        <v>25</v>
      </c>
      <c r="L3138" t="s">
        <v>26</v>
      </c>
      <c r="M3138" t="b">
        <v>1</v>
      </c>
      <c r="N3138" t="s">
        <v>3772</v>
      </c>
      <c r="O3138" t="str">
        <f>"266/.022"</f>
        <v>266/.022</v>
      </c>
      <c r="P3138" t="s">
        <v>7326</v>
      </c>
      <c r="Q3138" t="b">
        <v>0</v>
      </c>
      <c r="S3138" t="str">
        <f>"9780310514084"</f>
        <v>9780310514084</v>
      </c>
      <c r="T3138" t="str">
        <f>"9780310520566"</f>
        <v>9780310520566</v>
      </c>
      <c r="U3138" t="b">
        <v>0</v>
      </c>
      <c r="W3138" t="b">
        <v>0</v>
      </c>
    </row>
    <row r="3139" spans="1:23" x14ac:dyDescent="0.3">
      <c r="A3139">
        <v>1948726</v>
      </c>
      <c r="B3139">
        <v>58.62</v>
      </c>
      <c r="C3139" t="s">
        <v>7327</v>
      </c>
      <c r="D3139" t="s">
        <v>7139</v>
      </c>
      <c r="E3139" t="s">
        <v>23</v>
      </c>
      <c r="F3139" t="s">
        <v>44</v>
      </c>
      <c r="G3139">
        <v>2013</v>
      </c>
      <c r="H3139" t="s">
        <v>2702</v>
      </c>
      <c r="K3139" t="s">
        <v>25</v>
      </c>
      <c r="L3139" t="s">
        <v>30</v>
      </c>
      <c r="M3139" t="b">
        <v>1</v>
      </c>
      <c r="N3139" t="s">
        <v>6481</v>
      </c>
      <c r="Q3139" t="b">
        <v>0</v>
      </c>
      <c r="S3139" t="str">
        <f>"9780310515005"</f>
        <v>9780310515005</v>
      </c>
      <c r="T3139" t="str">
        <f>"9780310518006"</f>
        <v>9780310518006</v>
      </c>
      <c r="U3139" t="b">
        <v>0</v>
      </c>
      <c r="W3139" t="b">
        <v>0</v>
      </c>
    </row>
    <row r="3140" spans="1:23" x14ac:dyDescent="0.3">
      <c r="A3140">
        <v>1948725</v>
      </c>
      <c r="B3140">
        <v>206.97</v>
      </c>
      <c r="C3140" t="s">
        <v>7328</v>
      </c>
      <c r="D3140" t="s">
        <v>7329</v>
      </c>
      <c r="E3140" t="s">
        <v>49</v>
      </c>
      <c r="F3140" t="s">
        <v>106</v>
      </c>
      <c r="G3140">
        <v>2011</v>
      </c>
      <c r="H3140" t="s">
        <v>6490</v>
      </c>
      <c r="I3140" t="s">
        <v>7330</v>
      </c>
      <c r="J3140" t="s">
        <v>7331</v>
      </c>
      <c r="K3140" t="s">
        <v>25</v>
      </c>
      <c r="L3140" t="s">
        <v>30</v>
      </c>
      <c r="M3140" t="b">
        <v>1</v>
      </c>
      <c r="N3140" t="s">
        <v>6492</v>
      </c>
      <c r="O3140" t="str">
        <f>"230.09"</f>
        <v>230.09</v>
      </c>
      <c r="Q3140" t="b">
        <v>0</v>
      </c>
      <c r="S3140" t="str">
        <f>"9780310230137"</f>
        <v>9780310230137</v>
      </c>
      <c r="T3140" t="str">
        <f>"9780310410416"</f>
        <v>9780310410416</v>
      </c>
      <c r="U3140" t="b">
        <v>0</v>
      </c>
      <c r="W3140" t="b">
        <v>0</v>
      </c>
    </row>
    <row r="3141" spans="1:23" x14ac:dyDescent="0.3">
      <c r="A3141">
        <v>1948724</v>
      </c>
      <c r="B3141">
        <v>10.63</v>
      </c>
      <c r="C3141" t="s">
        <v>7332</v>
      </c>
      <c r="D3141" t="s">
        <v>6489</v>
      </c>
      <c r="E3141" t="s">
        <v>23</v>
      </c>
      <c r="F3141" t="s">
        <v>106</v>
      </c>
      <c r="G3141">
        <v>2012</v>
      </c>
      <c r="H3141" t="s">
        <v>1261</v>
      </c>
      <c r="I3141" t="s">
        <v>6878</v>
      </c>
      <c r="J3141" t="s">
        <v>7333</v>
      </c>
      <c r="K3141" t="s">
        <v>25</v>
      </c>
      <c r="L3141" t="s">
        <v>30</v>
      </c>
      <c r="M3141" t="b">
        <v>1</v>
      </c>
      <c r="N3141" t="s">
        <v>6880</v>
      </c>
      <c r="O3141" t="str">
        <f>"170"</f>
        <v>170</v>
      </c>
      <c r="Q3141" t="b">
        <v>0</v>
      </c>
      <c r="T3141" t="str">
        <f>"9780310496472"</f>
        <v>9780310496472</v>
      </c>
      <c r="U3141" t="b">
        <v>0</v>
      </c>
      <c r="W3141" t="b">
        <v>0</v>
      </c>
    </row>
    <row r="3142" spans="1:23" x14ac:dyDescent="0.3">
      <c r="A3142">
        <v>1948723</v>
      </c>
      <c r="B3142">
        <v>10.63</v>
      </c>
      <c r="C3142" t="s">
        <v>7334</v>
      </c>
      <c r="D3142" t="s">
        <v>6489</v>
      </c>
      <c r="E3142" t="s">
        <v>49</v>
      </c>
      <c r="F3142" t="s">
        <v>106</v>
      </c>
      <c r="G3142">
        <v>2012</v>
      </c>
      <c r="H3142" t="s">
        <v>1261</v>
      </c>
      <c r="K3142" t="s">
        <v>25</v>
      </c>
      <c r="L3142" t="s">
        <v>30</v>
      </c>
      <c r="M3142" t="b">
        <v>1</v>
      </c>
      <c r="N3142" t="s">
        <v>6880</v>
      </c>
      <c r="Q3142" t="b">
        <v>0</v>
      </c>
      <c r="T3142" t="str">
        <f>"9780310496465"</f>
        <v>9780310496465</v>
      </c>
      <c r="U3142" t="b">
        <v>0</v>
      </c>
      <c r="W3142" t="b">
        <v>0</v>
      </c>
    </row>
    <row r="3143" spans="1:23" x14ac:dyDescent="0.3">
      <c r="A3143">
        <v>1948722</v>
      </c>
      <c r="B3143">
        <v>10.63</v>
      </c>
      <c r="C3143" t="s">
        <v>7335</v>
      </c>
      <c r="D3143" t="s">
        <v>6489</v>
      </c>
      <c r="E3143" t="s">
        <v>49</v>
      </c>
      <c r="F3143" t="s">
        <v>106</v>
      </c>
      <c r="G3143">
        <v>2012</v>
      </c>
      <c r="H3143" t="s">
        <v>115</v>
      </c>
      <c r="K3143" t="s">
        <v>25</v>
      </c>
      <c r="L3143" t="s">
        <v>30</v>
      </c>
      <c r="M3143" t="b">
        <v>1</v>
      </c>
      <c r="N3143" t="s">
        <v>946</v>
      </c>
      <c r="Q3143" t="b">
        <v>0</v>
      </c>
      <c r="T3143" t="str">
        <f>"9780310496199"</f>
        <v>9780310496199</v>
      </c>
      <c r="U3143" t="b">
        <v>0</v>
      </c>
      <c r="W3143" t="b">
        <v>0</v>
      </c>
    </row>
    <row r="3144" spans="1:23" x14ac:dyDescent="0.3">
      <c r="A3144">
        <v>1948721</v>
      </c>
      <c r="B3144">
        <v>127.62</v>
      </c>
      <c r="C3144" t="s">
        <v>7321</v>
      </c>
      <c r="D3144" t="s">
        <v>7318</v>
      </c>
      <c r="E3144" t="s">
        <v>49</v>
      </c>
      <c r="F3144" t="s">
        <v>44</v>
      </c>
      <c r="G3144">
        <v>2012</v>
      </c>
      <c r="H3144" t="s">
        <v>822</v>
      </c>
      <c r="I3144" t="s">
        <v>7323</v>
      </c>
      <c r="J3144" t="s">
        <v>7320</v>
      </c>
      <c r="K3144" t="s">
        <v>25</v>
      </c>
      <c r="L3144" t="s">
        <v>26</v>
      </c>
      <c r="M3144" t="b">
        <v>1</v>
      </c>
      <c r="N3144" t="s">
        <v>3772</v>
      </c>
      <c r="O3144" t="str">
        <f>"253.09173/2"</f>
        <v>253.09173/2</v>
      </c>
      <c r="Q3144" t="b">
        <v>0</v>
      </c>
      <c r="S3144" t="str">
        <f>"9780310494188"</f>
        <v>9780310494188</v>
      </c>
      <c r="T3144" t="str">
        <f>"9780310494195"</f>
        <v>9780310494195</v>
      </c>
      <c r="U3144" t="b">
        <v>0</v>
      </c>
      <c r="W3144" t="b">
        <v>0</v>
      </c>
    </row>
    <row r="3145" spans="1:23" x14ac:dyDescent="0.3">
      <c r="A3145">
        <v>1948655</v>
      </c>
      <c r="B3145">
        <v>46.16</v>
      </c>
      <c r="C3145" t="s">
        <v>7336</v>
      </c>
      <c r="D3145" t="s">
        <v>7337</v>
      </c>
      <c r="E3145" t="s">
        <v>49</v>
      </c>
      <c r="F3145" t="s">
        <v>44</v>
      </c>
      <c r="G3145">
        <v>2010</v>
      </c>
      <c r="H3145" t="s">
        <v>50</v>
      </c>
      <c r="K3145" t="s">
        <v>25</v>
      </c>
      <c r="L3145" t="s">
        <v>30</v>
      </c>
      <c r="M3145" t="b">
        <v>1</v>
      </c>
      <c r="N3145" t="s">
        <v>1453</v>
      </c>
      <c r="Q3145" t="b">
        <v>0</v>
      </c>
      <c r="T3145" t="str">
        <f>"9780310874249"</f>
        <v>9780310874249</v>
      </c>
      <c r="U3145" t="b">
        <v>0</v>
      </c>
      <c r="W3145" t="b">
        <v>0</v>
      </c>
    </row>
    <row r="3146" spans="1:23" x14ac:dyDescent="0.3">
      <c r="A3146">
        <v>1948654</v>
      </c>
      <c r="B3146">
        <v>44.82</v>
      </c>
      <c r="C3146" t="s">
        <v>7338</v>
      </c>
      <c r="D3146" t="s">
        <v>7339</v>
      </c>
      <c r="E3146" t="s">
        <v>23</v>
      </c>
      <c r="F3146" t="s">
        <v>44</v>
      </c>
      <c r="G3146">
        <v>2010</v>
      </c>
      <c r="H3146" t="s">
        <v>50</v>
      </c>
      <c r="K3146" t="s">
        <v>25</v>
      </c>
      <c r="L3146" t="s">
        <v>30</v>
      </c>
      <c r="M3146" t="b">
        <v>1</v>
      </c>
      <c r="N3146" t="s">
        <v>1453</v>
      </c>
      <c r="Q3146" t="b">
        <v>0</v>
      </c>
      <c r="S3146" t="str">
        <f>"9780310220244"</f>
        <v>9780310220244</v>
      </c>
      <c r="T3146" t="str">
        <f>"9780310874225"</f>
        <v>9780310874225</v>
      </c>
      <c r="U3146" t="b">
        <v>0</v>
      </c>
      <c r="W3146" t="b">
        <v>0</v>
      </c>
    </row>
    <row r="3147" spans="1:23" x14ac:dyDescent="0.3">
      <c r="A3147">
        <v>1948653</v>
      </c>
      <c r="B3147">
        <v>37.92</v>
      </c>
      <c r="C3147" t="s">
        <v>7340</v>
      </c>
      <c r="D3147" t="s">
        <v>7341</v>
      </c>
      <c r="E3147" t="s">
        <v>49</v>
      </c>
      <c r="F3147" t="s">
        <v>44</v>
      </c>
      <c r="G3147">
        <v>2009</v>
      </c>
      <c r="H3147" t="s">
        <v>50</v>
      </c>
      <c r="K3147" t="s">
        <v>25</v>
      </c>
      <c r="L3147" t="s">
        <v>30</v>
      </c>
      <c r="M3147" t="b">
        <v>1</v>
      </c>
      <c r="N3147" t="s">
        <v>7342</v>
      </c>
      <c r="P3147" t="s">
        <v>7191</v>
      </c>
      <c r="Q3147" t="b">
        <v>0</v>
      </c>
      <c r="S3147" t="str">
        <f>"9780310283270"</f>
        <v>9780310283270</v>
      </c>
      <c r="T3147" t="str">
        <f>"9780310577256"</f>
        <v>9780310577256</v>
      </c>
      <c r="U3147" t="b">
        <v>0</v>
      </c>
      <c r="W3147" t="b">
        <v>0</v>
      </c>
    </row>
    <row r="3148" spans="1:23" x14ac:dyDescent="0.3">
      <c r="A3148">
        <v>1948652</v>
      </c>
      <c r="B3148">
        <v>37.92</v>
      </c>
      <c r="C3148" t="s">
        <v>7343</v>
      </c>
      <c r="D3148" t="s">
        <v>7344</v>
      </c>
      <c r="E3148" t="s">
        <v>49</v>
      </c>
      <c r="F3148" t="s">
        <v>44</v>
      </c>
      <c r="G3148">
        <v>2011</v>
      </c>
      <c r="H3148" t="s">
        <v>50</v>
      </c>
      <c r="K3148" t="s">
        <v>25</v>
      </c>
      <c r="L3148" t="s">
        <v>30</v>
      </c>
      <c r="M3148" t="b">
        <v>1</v>
      </c>
      <c r="N3148" t="s">
        <v>7342</v>
      </c>
      <c r="P3148" t="s">
        <v>7191</v>
      </c>
      <c r="Q3148" t="b">
        <v>0</v>
      </c>
      <c r="S3148" t="str">
        <f>"9780310273646"</f>
        <v>9780310273646</v>
      </c>
      <c r="T3148" t="str">
        <f>"9780310868385"</f>
        <v>9780310868385</v>
      </c>
      <c r="U3148" t="b">
        <v>0</v>
      </c>
      <c r="W3148" t="b">
        <v>0</v>
      </c>
    </row>
    <row r="3149" spans="1:23" x14ac:dyDescent="0.3">
      <c r="A3149">
        <v>1948651</v>
      </c>
      <c r="B3149">
        <v>37.92</v>
      </c>
      <c r="C3149" t="s">
        <v>7345</v>
      </c>
      <c r="D3149" t="s">
        <v>7346</v>
      </c>
      <c r="E3149" t="s">
        <v>49</v>
      </c>
      <c r="F3149" t="s">
        <v>44</v>
      </c>
      <c r="G3149">
        <v>2010</v>
      </c>
      <c r="H3149" t="s">
        <v>50</v>
      </c>
      <c r="K3149" t="s">
        <v>25</v>
      </c>
      <c r="L3149" t="s">
        <v>30</v>
      </c>
      <c r="M3149" t="b">
        <v>1</v>
      </c>
      <c r="N3149" t="s">
        <v>7197</v>
      </c>
      <c r="P3149" t="s">
        <v>7191</v>
      </c>
      <c r="Q3149" t="b">
        <v>0</v>
      </c>
      <c r="S3149" t="str">
        <f>"9780310207764"</f>
        <v>9780310207764</v>
      </c>
      <c r="T3149" t="str">
        <f>"9780310853824"</f>
        <v>9780310853824</v>
      </c>
      <c r="U3149" t="b">
        <v>0</v>
      </c>
      <c r="W3149" t="b">
        <v>0</v>
      </c>
    </row>
    <row r="3150" spans="1:23" x14ac:dyDescent="0.3">
      <c r="A3150">
        <v>1948650</v>
      </c>
      <c r="B3150">
        <v>24.12</v>
      </c>
      <c r="C3150" t="s">
        <v>7347</v>
      </c>
      <c r="E3150" t="s">
        <v>23</v>
      </c>
      <c r="F3150" t="s">
        <v>44</v>
      </c>
      <c r="G3150">
        <v>2009</v>
      </c>
      <c r="H3150" t="s">
        <v>50</v>
      </c>
      <c r="I3150" t="s">
        <v>7348</v>
      </c>
      <c r="J3150" t="s">
        <v>7349</v>
      </c>
      <c r="K3150" t="s">
        <v>25</v>
      </c>
      <c r="L3150" t="s">
        <v>30</v>
      </c>
      <c r="M3150" t="b">
        <v>1</v>
      </c>
      <c r="N3150" t="s">
        <v>7350</v>
      </c>
      <c r="O3150" t="str">
        <f>"259/.23"</f>
        <v>259/.23</v>
      </c>
      <c r="P3150" t="s">
        <v>7351</v>
      </c>
      <c r="Q3150" t="b">
        <v>0</v>
      </c>
      <c r="S3150" t="str">
        <f>"9780310291947"</f>
        <v>9780310291947</v>
      </c>
      <c r="T3150" t="str">
        <f>"9780310651901"</f>
        <v>9780310651901</v>
      </c>
      <c r="U3150" t="b">
        <v>0</v>
      </c>
      <c r="W3150" t="b">
        <v>0</v>
      </c>
    </row>
    <row r="3151" spans="1:23" x14ac:dyDescent="0.3">
      <c r="A3151">
        <v>1948649</v>
      </c>
      <c r="B3151">
        <v>34.47</v>
      </c>
      <c r="C3151" t="s">
        <v>7352</v>
      </c>
      <c r="E3151" t="s">
        <v>49</v>
      </c>
      <c r="F3151" t="s">
        <v>44</v>
      </c>
      <c r="G3151">
        <v>2010</v>
      </c>
      <c r="H3151" t="s">
        <v>50</v>
      </c>
      <c r="K3151" t="s">
        <v>25</v>
      </c>
      <c r="L3151" t="s">
        <v>30</v>
      </c>
      <c r="M3151" t="b">
        <v>1</v>
      </c>
      <c r="N3151" t="s">
        <v>7350</v>
      </c>
      <c r="Q3151" t="b">
        <v>0</v>
      </c>
      <c r="S3151" t="str">
        <f>"9780310291930"</f>
        <v>9780310291930</v>
      </c>
      <c r="T3151" t="str">
        <f>"9780310651895"</f>
        <v>9780310651895</v>
      </c>
      <c r="U3151" t="b">
        <v>0</v>
      </c>
      <c r="W3151" t="b">
        <v>0</v>
      </c>
    </row>
    <row r="3152" spans="1:23" x14ac:dyDescent="0.3">
      <c r="A3152">
        <v>1948648</v>
      </c>
      <c r="B3152">
        <v>24.12</v>
      </c>
      <c r="C3152" t="s">
        <v>7353</v>
      </c>
      <c r="E3152" t="s">
        <v>23</v>
      </c>
      <c r="F3152" t="s">
        <v>44</v>
      </c>
      <c r="G3152">
        <v>2010</v>
      </c>
      <c r="H3152" t="s">
        <v>50</v>
      </c>
      <c r="I3152" t="s">
        <v>7354</v>
      </c>
      <c r="J3152" t="s">
        <v>7355</v>
      </c>
      <c r="K3152" t="s">
        <v>25</v>
      </c>
      <c r="L3152" t="s">
        <v>30</v>
      </c>
      <c r="M3152" t="b">
        <v>1</v>
      </c>
      <c r="N3152" t="s">
        <v>7350</v>
      </c>
      <c r="O3152" t="str">
        <f>"616.85/26"</f>
        <v>616.85/26</v>
      </c>
      <c r="P3152" t="s">
        <v>7356</v>
      </c>
      <c r="Q3152" t="b">
        <v>0</v>
      </c>
      <c r="S3152" t="str">
        <f>"9780310291978"</f>
        <v>9780310291978</v>
      </c>
      <c r="T3152" t="str">
        <f>"9780310398585"</f>
        <v>9780310398585</v>
      </c>
      <c r="U3152" t="b">
        <v>0</v>
      </c>
      <c r="W3152" t="b">
        <v>0</v>
      </c>
    </row>
    <row r="3153" spans="1:23" x14ac:dyDescent="0.3">
      <c r="A3153">
        <v>1948647</v>
      </c>
      <c r="B3153">
        <v>24.12</v>
      </c>
      <c r="C3153" t="s">
        <v>7357</v>
      </c>
      <c r="E3153" t="s">
        <v>23</v>
      </c>
      <c r="F3153" t="s">
        <v>44</v>
      </c>
      <c r="G3153">
        <v>2010</v>
      </c>
      <c r="H3153" t="s">
        <v>50</v>
      </c>
      <c r="I3153" t="s">
        <v>7358</v>
      </c>
      <c r="J3153" t="s">
        <v>7359</v>
      </c>
      <c r="K3153" t="s">
        <v>25</v>
      </c>
      <c r="L3153" t="s">
        <v>30</v>
      </c>
      <c r="M3153" t="b">
        <v>1</v>
      </c>
      <c r="N3153" t="s">
        <v>7350</v>
      </c>
      <c r="O3153" t="str">
        <f>"306.70835"</f>
        <v>306.70835</v>
      </c>
      <c r="P3153" t="s">
        <v>7360</v>
      </c>
      <c r="Q3153" t="b">
        <v>0</v>
      </c>
      <c r="S3153" t="str">
        <f>"9780310291985"</f>
        <v>9780310291985</v>
      </c>
      <c r="T3153" t="str">
        <f>"9780310398592"</f>
        <v>9780310398592</v>
      </c>
      <c r="U3153" t="b">
        <v>0</v>
      </c>
      <c r="W3153" t="b">
        <v>0</v>
      </c>
    </row>
    <row r="3154" spans="1:23" x14ac:dyDescent="0.3">
      <c r="A3154">
        <v>1948646</v>
      </c>
      <c r="B3154">
        <v>24.12</v>
      </c>
      <c r="C3154" t="s">
        <v>7361</v>
      </c>
      <c r="E3154" t="s">
        <v>23</v>
      </c>
      <c r="F3154" t="s">
        <v>44</v>
      </c>
      <c r="G3154">
        <v>2010</v>
      </c>
      <c r="H3154" t="s">
        <v>50</v>
      </c>
      <c r="K3154" t="s">
        <v>25</v>
      </c>
      <c r="L3154" t="s">
        <v>30</v>
      </c>
      <c r="M3154" t="b">
        <v>1</v>
      </c>
      <c r="N3154" t="s">
        <v>7350</v>
      </c>
      <c r="Q3154" t="b">
        <v>0</v>
      </c>
      <c r="S3154" t="str">
        <f>"9780310291954"</f>
        <v>9780310291954</v>
      </c>
      <c r="T3154" t="str">
        <f>"9780310600015"</f>
        <v>9780310600015</v>
      </c>
      <c r="U3154" t="b">
        <v>0</v>
      </c>
      <c r="W3154" t="b">
        <v>0</v>
      </c>
    </row>
    <row r="3155" spans="1:23" x14ac:dyDescent="0.3">
      <c r="A3155">
        <v>1948645</v>
      </c>
      <c r="B3155">
        <v>24.12</v>
      </c>
      <c r="C3155" t="s">
        <v>7362</v>
      </c>
      <c r="E3155" t="s">
        <v>23</v>
      </c>
      <c r="F3155" t="s">
        <v>44</v>
      </c>
      <c r="G3155">
        <v>2009</v>
      </c>
      <c r="H3155" t="s">
        <v>50</v>
      </c>
      <c r="I3155" t="s">
        <v>7151</v>
      </c>
      <c r="J3155" t="s">
        <v>7363</v>
      </c>
      <c r="K3155" t="s">
        <v>25</v>
      </c>
      <c r="L3155" t="s">
        <v>30</v>
      </c>
      <c r="M3155" t="b">
        <v>1</v>
      </c>
      <c r="N3155" t="s">
        <v>7350</v>
      </c>
      <c r="O3155" t="str">
        <f>"259/.23"</f>
        <v>259/.23</v>
      </c>
      <c r="P3155" t="s">
        <v>7360</v>
      </c>
      <c r="Q3155" t="b">
        <v>0</v>
      </c>
      <c r="S3155" t="str">
        <f>"9780310291961"</f>
        <v>9780310291961</v>
      </c>
      <c r="T3155" t="str">
        <f>"9780310600008"</f>
        <v>9780310600008</v>
      </c>
      <c r="U3155" t="b">
        <v>0</v>
      </c>
      <c r="W3155" t="b">
        <v>0</v>
      </c>
    </row>
    <row r="3156" spans="1:23" x14ac:dyDescent="0.3">
      <c r="A3156">
        <v>1948644</v>
      </c>
      <c r="B3156">
        <v>44.82</v>
      </c>
      <c r="C3156" t="s">
        <v>7364</v>
      </c>
      <c r="D3156" t="s">
        <v>7365</v>
      </c>
      <c r="E3156" t="s">
        <v>23</v>
      </c>
      <c r="F3156" t="s">
        <v>44</v>
      </c>
      <c r="G3156">
        <v>2011</v>
      </c>
      <c r="H3156" t="s">
        <v>50</v>
      </c>
      <c r="K3156" t="s">
        <v>25</v>
      </c>
      <c r="L3156" t="s">
        <v>30</v>
      </c>
      <c r="M3156" t="b">
        <v>1</v>
      </c>
      <c r="N3156" t="s">
        <v>7366</v>
      </c>
      <c r="Q3156" t="b">
        <v>0</v>
      </c>
      <c r="S3156" t="str">
        <f>"9780310670353"</f>
        <v>9780310670353</v>
      </c>
      <c r="T3156" t="str">
        <f>"9780310296584"</f>
        <v>9780310296584</v>
      </c>
      <c r="U3156" t="b">
        <v>0</v>
      </c>
      <c r="W3156" t="b">
        <v>0</v>
      </c>
    </row>
    <row r="3157" spans="1:23" x14ac:dyDescent="0.3">
      <c r="A3157">
        <v>1948643</v>
      </c>
      <c r="B3157">
        <v>37.92</v>
      </c>
      <c r="C3157" t="s">
        <v>7367</v>
      </c>
      <c r="D3157" t="s">
        <v>7368</v>
      </c>
      <c r="E3157" t="s">
        <v>49</v>
      </c>
      <c r="F3157" t="s">
        <v>44</v>
      </c>
      <c r="G3157">
        <v>2009</v>
      </c>
      <c r="H3157" t="s">
        <v>50</v>
      </c>
      <c r="K3157" t="s">
        <v>25</v>
      </c>
      <c r="L3157" t="s">
        <v>30</v>
      </c>
      <c r="M3157" t="b">
        <v>1</v>
      </c>
      <c r="N3157" t="s">
        <v>7197</v>
      </c>
      <c r="P3157" t="s">
        <v>7191</v>
      </c>
      <c r="Q3157" t="b">
        <v>0</v>
      </c>
      <c r="S3157" t="str">
        <f>"9780310230939"</f>
        <v>9780310230939</v>
      </c>
      <c r="T3157" t="str">
        <f>"9780310853466"</f>
        <v>9780310853466</v>
      </c>
      <c r="U3157" t="b">
        <v>0</v>
      </c>
      <c r="W3157" t="b">
        <v>0</v>
      </c>
    </row>
    <row r="3158" spans="1:23" x14ac:dyDescent="0.3">
      <c r="A3158">
        <v>1948642</v>
      </c>
      <c r="B3158">
        <v>27.57</v>
      </c>
      <c r="C3158" t="s">
        <v>7369</v>
      </c>
      <c r="D3158" t="s">
        <v>7370</v>
      </c>
      <c r="E3158" t="s">
        <v>49</v>
      </c>
      <c r="F3158" t="s">
        <v>44</v>
      </c>
      <c r="G3158">
        <v>2009</v>
      </c>
      <c r="H3158" t="s">
        <v>50</v>
      </c>
      <c r="K3158" t="s">
        <v>25</v>
      </c>
      <c r="L3158" t="s">
        <v>30</v>
      </c>
      <c r="M3158" t="b">
        <v>1</v>
      </c>
      <c r="N3158" t="s">
        <v>5773</v>
      </c>
      <c r="P3158" t="s">
        <v>7371</v>
      </c>
      <c r="Q3158" t="b">
        <v>0</v>
      </c>
      <c r="S3158" t="str">
        <f>"9780310274896"</f>
        <v>9780310274896</v>
      </c>
      <c r="T3158" t="str">
        <f>"9780310868323"</f>
        <v>9780310868323</v>
      </c>
      <c r="U3158" t="b">
        <v>0</v>
      </c>
      <c r="W3158" t="b">
        <v>0</v>
      </c>
    </row>
    <row r="3159" spans="1:23" x14ac:dyDescent="0.3">
      <c r="A3159">
        <v>1948641</v>
      </c>
      <c r="B3159">
        <v>37.92</v>
      </c>
      <c r="C3159" t="s">
        <v>7372</v>
      </c>
      <c r="D3159" t="s">
        <v>7373</v>
      </c>
      <c r="E3159" t="s">
        <v>49</v>
      </c>
      <c r="F3159" t="s">
        <v>44</v>
      </c>
      <c r="G3159">
        <v>2010</v>
      </c>
      <c r="H3159" t="s">
        <v>50</v>
      </c>
      <c r="K3159" t="s">
        <v>25</v>
      </c>
      <c r="L3159" t="s">
        <v>26</v>
      </c>
      <c r="M3159" t="b">
        <v>1</v>
      </c>
      <c r="N3159" t="s">
        <v>7374</v>
      </c>
      <c r="P3159" t="s">
        <v>7191</v>
      </c>
      <c r="Q3159" t="b">
        <v>0</v>
      </c>
      <c r="S3159" t="str">
        <f>"9780310241096"</f>
        <v>9780310241096</v>
      </c>
      <c r="T3159" t="str">
        <f>"9780310853404"</f>
        <v>9780310853404</v>
      </c>
      <c r="U3159" t="b">
        <v>0</v>
      </c>
      <c r="W3159" t="b">
        <v>0</v>
      </c>
    </row>
    <row r="3160" spans="1:23" x14ac:dyDescent="0.3">
      <c r="A3160">
        <v>1948640</v>
      </c>
      <c r="B3160">
        <v>49.71</v>
      </c>
      <c r="C3160" t="s">
        <v>6381</v>
      </c>
      <c r="D3160" t="s">
        <v>7375</v>
      </c>
      <c r="E3160" t="s">
        <v>49</v>
      </c>
      <c r="F3160" t="s">
        <v>44</v>
      </c>
      <c r="G3160">
        <v>2011</v>
      </c>
      <c r="H3160" t="s">
        <v>50</v>
      </c>
      <c r="K3160" t="s">
        <v>25</v>
      </c>
      <c r="L3160" t="s">
        <v>30</v>
      </c>
      <c r="M3160" t="b">
        <v>1</v>
      </c>
      <c r="N3160" t="s">
        <v>7376</v>
      </c>
      <c r="Q3160" t="b">
        <v>0</v>
      </c>
      <c r="T3160" t="str">
        <f>"9780310578758"</f>
        <v>9780310578758</v>
      </c>
      <c r="U3160" t="b">
        <v>0</v>
      </c>
      <c r="W3160" t="b">
        <v>0</v>
      </c>
    </row>
    <row r="3161" spans="1:23" x14ac:dyDescent="0.3">
      <c r="A3161">
        <v>1948639</v>
      </c>
      <c r="B3161">
        <v>31.02</v>
      </c>
      <c r="C3161" t="s">
        <v>3786</v>
      </c>
      <c r="D3161" t="s">
        <v>7377</v>
      </c>
      <c r="E3161" t="s">
        <v>49</v>
      </c>
      <c r="F3161" t="s">
        <v>44</v>
      </c>
      <c r="G3161">
        <v>2009</v>
      </c>
      <c r="H3161" t="s">
        <v>2079</v>
      </c>
      <c r="K3161" t="s">
        <v>25</v>
      </c>
      <c r="L3161" t="s">
        <v>30</v>
      </c>
      <c r="M3161" t="b">
        <v>1</v>
      </c>
      <c r="N3161" t="s">
        <v>5773</v>
      </c>
      <c r="P3161" t="s">
        <v>7378</v>
      </c>
      <c r="Q3161" t="b">
        <v>0</v>
      </c>
      <c r="S3161" t="str">
        <f>"9780310282655"</f>
        <v>9780310282655</v>
      </c>
      <c r="T3161" t="str">
        <f>"9780310867548"</f>
        <v>9780310867548</v>
      </c>
      <c r="U3161" t="b">
        <v>0</v>
      </c>
      <c r="W3161" t="b">
        <v>0</v>
      </c>
    </row>
    <row r="3162" spans="1:23" x14ac:dyDescent="0.3">
      <c r="A3162">
        <v>1948638</v>
      </c>
      <c r="B3162">
        <v>31.02</v>
      </c>
      <c r="C3162" t="s">
        <v>7379</v>
      </c>
      <c r="D3162" t="s">
        <v>7380</v>
      </c>
      <c r="E3162" t="s">
        <v>49</v>
      </c>
      <c r="F3162" t="s">
        <v>44</v>
      </c>
      <c r="G3162">
        <v>2009</v>
      </c>
      <c r="H3162" t="s">
        <v>50</v>
      </c>
      <c r="K3162" t="s">
        <v>25</v>
      </c>
      <c r="L3162" t="s">
        <v>30</v>
      </c>
      <c r="M3162" t="b">
        <v>1</v>
      </c>
      <c r="N3162" t="s">
        <v>5773</v>
      </c>
      <c r="P3162" t="s">
        <v>7378</v>
      </c>
      <c r="Q3162" t="b">
        <v>0</v>
      </c>
      <c r="S3162" t="str">
        <f>"9780310282662"</f>
        <v>9780310282662</v>
      </c>
      <c r="T3162" t="str">
        <f>"9780310868286"</f>
        <v>9780310868286</v>
      </c>
      <c r="U3162" t="b">
        <v>0</v>
      </c>
      <c r="W3162" t="b">
        <v>0</v>
      </c>
    </row>
    <row r="3163" spans="1:23" x14ac:dyDescent="0.3">
      <c r="A3163">
        <v>1948637</v>
      </c>
      <c r="B3163">
        <v>39.049999999999997</v>
      </c>
      <c r="C3163" t="s">
        <v>7381</v>
      </c>
      <c r="D3163" t="s">
        <v>7382</v>
      </c>
      <c r="E3163" t="s">
        <v>23</v>
      </c>
      <c r="F3163" t="s">
        <v>44</v>
      </c>
      <c r="G3163">
        <v>2009</v>
      </c>
      <c r="H3163" t="s">
        <v>50</v>
      </c>
      <c r="K3163" t="s">
        <v>25</v>
      </c>
      <c r="L3163" t="s">
        <v>30</v>
      </c>
      <c r="M3163" t="b">
        <v>1</v>
      </c>
      <c r="N3163" t="s">
        <v>1455</v>
      </c>
      <c r="Q3163" t="b">
        <v>0</v>
      </c>
      <c r="T3163" t="str">
        <f>"9780310867586"</f>
        <v>9780310867586</v>
      </c>
      <c r="U3163" t="b">
        <v>0</v>
      </c>
      <c r="W3163" t="b">
        <v>0</v>
      </c>
    </row>
    <row r="3164" spans="1:23" x14ac:dyDescent="0.3">
      <c r="A3164">
        <v>1948636</v>
      </c>
      <c r="B3164">
        <v>56.82</v>
      </c>
      <c r="C3164" t="s">
        <v>7383</v>
      </c>
      <c r="D3164" t="s">
        <v>7384</v>
      </c>
      <c r="E3164" t="s">
        <v>23</v>
      </c>
      <c r="F3164" t="s">
        <v>44</v>
      </c>
      <c r="G3164">
        <v>2010</v>
      </c>
      <c r="H3164" t="s">
        <v>50</v>
      </c>
      <c r="I3164" t="s">
        <v>7151</v>
      </c>
      <c r="J3164" t="s">
        <v>895</v>
      </c>
      <c r="K3164" t="s">
        <v>25</v>
      </c>
      <c r="L3164" t="s">
        <v>30</v>
      </c>
      <c r="M3164" t="b">
        <v>1</v>
      </c>
      <c r="N3164" t="s">
        <v>7385</v>
      </c>
      <c r="O3164" t="str">
        <f>"259/.23"</f>
        <v>259/.23</v>
      </c>
      <c r="Q3164" t="b">
        <v>0</v>
      </c>
      <c r="T3164" t="str">
        <f>"9780310873891"</f>
        <v>9780310873891</v>
      </c>
      <c r="U3164" t="b">
        <v>0</v>
      </c>
      <c r="W3164" t="b">
        <v>0</v>
      </c>
    </row>
    <row r="3165" spans="1:23" x14ac:dyDescent="0.3">
      <c r="A3165">
        <v>1948635</v>
      </c>
      <c r="B3165">
        <v>34.47</v>
      </c>
      <c r="C3165" t="s">
        <v>7386</v>
      </c>
      <c r="D3165" t="s">
        <v>7387</v>
      </c>
      <c r="E3165" t="s">
        <v>49</v>
      </c>
      <c r="F3165" t="s">
        <v>44</v>
      </c>
      <c r="G3165">
        <v>2009</v>
      </c>
      <c r="H3165" t="s">
        <v>56</v>
      </c>
      <c r="I3165" t="s">
        <v>7388</v>
      </c>
      <c r="J3165" t="s">
        <v>7389</v>
      </c>
      <c r="K3165" t="s">
        <v>25</v>
      </c>
      <c r="L3165" t="s">
        <v>30</v>
      </c>
      <c r="M3165" t="b">
        <v>1</v>
      </c>
      <c r="N3165" t="s">
        <v>7390</v>
      </c>
      <c r="O3165" t="str">
        <f>"248.8/45"</f>
        <v>248.8/45</v>
      </c>
      <c r="Q3165" t="b">
        <v>0</v>
      </c>
      <c r="S3165" t="str">
        <f>"9780310287711"</f>
        <v>9780310287711</v>
      </c>
      <c r="T3165" t="str">
        <f>"9780310557654"</f>
        <v>9780310557654</v>
      </c>
      <c r="U3165" t="b">
        <v>0</v>
      </c>
      <c r="W3165" t="b">
        <v>0</v>
      </c>
    </row>
    <row r="3166" spans="1:23" x14ac:dyDescent="0.3">
      <c r="A3166">
        <v>1948634</v>
      </c>
      <c r="B3166">
        <v>51.72</v>
      </c>
      <c r="C3166" t="s">
        <v>7391</v>
      </c>
      <c r="E3166" t="s">
        <v>49</v>
      </c>
      <c r="F3166" t="s">
        <v>44</v>
      </c>
      <c r="G3166">
        <v>2009</v>
      </c>
      <c r="H3166" t="s">
        <v>50</v>
      </c>
      <c r="K3166" t="s">
        <v>25</v>
      </c>
      <c r="L3166" t="s">
        <v>30</v>
      </c>
      <c r="M3166" t="b">
        <v>1</v>
      </c>
      <c r="N3166" t="s">
        <v>7279</v>
      </c>
      <c r="P3166" t="s">
        <v>7146</v>
      </c>
      <c r="Q3166" t="b">
        <v>0</v>
      </c>
      <c r="S3166" t="str">
        <f>"9780310285496"</f>
        <v>9780310285496</v>
      </c>
      <c r="T3166" t="str">
        <f>"9780310867432"</f>
        <v>9780310867432</v>
      </c>
      <c r="U3166" t="b">
        <v>0</v>
      </c>
      <c r="W3166" t="b">
        <v>0</v>
      </c>
    </row>
    <row r="3167" spans="1:23" x14ac:dyDescent="0.3">
      <c r="A3167">
        <v>1948633</v>
      </c>
      <c r="B3167">
        <v>60.37</v>
      </c>
      <c r="C3167" t="s">
        <v>7392</v>
      </c>
      <c r="D3167" t="s">
        <v>7393</v>
      </c>
      <c r="E3167" t="s">
        <v>23</v>
      </c>
      <c r="F3167" t="s">
        <v>44</v>
      </c>
      <c r="G3167">
        <v>2010</v>
      </c>
      <c r="H3167" t="s">
        <v>50</v>
      </c>
      <c r="I3167" t="s">
        <v>7394</v>
      </c>
      <c r="J3167" t="s">
        <v>895</v>
      </c>
      <c r="K3167" t="s">
        <v>25</v>
      </c>
      <c r="L3167" t="s">
        <v>30</v>
      </c>
      <c r="M3167" t="b">
        <v>1</v>
      </c>
      <c r="N3167" t="s">
        <v>7395</v>
      </c>
      <c r="O3167" t="str">
        <f>"261"</f>
        <v>261</v>
      </c>
      <c r="Q3167" t="b">
        <v>0</v>
      </c>
      <c r="T3167" t="str">
        <f>"9780310873488"</f>
        <v>9780310873488</v>
      </c>
      <c r="U3167" t="b">
        <v>0</v>
      </c>
      <c r="W3167" t="b">
        <v>0</v>
      </c>
    </row>
    <row r="3168" spans="1:23" x14ac:dyDescent="0.3">
      <c r="A3168">
        <v>1948632</v>
      </c>
      <c r="B3168">
        <v>44.82</v>
      </c>
      <c r="C3168" t="s">
        <v>7396</v>
      </c>
      <c r="D3168" t="s">
        <v>7397</v>
      </c>
      <c r="E3168" t="s">
        <v>49</v>
      </c>
      <c r="F3168" t="s">
        <v>44</v>
      </c>
      <c r="G3168">
        <v>2010</v>
      </c>
      <c r="H3168" t="s">
        <v>3527</v>
      </c>
      <c r="I3168" t="s">
        <v>7398</v>
      </c>
      <c r="J3168" t="s">
        <v>7162</v>
      </c>
      <c r="K3168" t="s">
        <v>25</v>
      </c>
      <c r="L3168" t="s">
        <v>30</v>
      </c>
      <c r="M3168" t="b">
        <v>1</v>
      </c>
      <c r="N3168" t="s">
        <v>2146</v>
      </c>
      <c r="O3168" t="str">
        <f>"259/.23"</f>
        <v>259/.23</v>
      </c>
      <c r="Q3168" t="b">
        <v>0</v>
      </c>
      <c r="S3168" t="str">
        <f>"9780310255130"</f>
        <v>9780310255130</v>
      </c>
      <c r="T3168" t="str">
        <f>"9780310871842"</f>
        <v>9780310871842</v>
      </c>
      <c r="U3168" t="b">
        <v>0</v>
      </c>
      <c r="W3168" t="b">
        <v>0</v>
      </c>
    </row>
    <row r="3169" spans="1:23" x14ac:dyDescent="0.3">
      <c r="A3169">
        <v>1948631</v>
      </c>
      <c r="B3169">
        <v>60.37</v>
      </c>
      <c r="C3169" t="s">
        <v>7399</v>
      </c>
      <c r="D3169" t="s">
        <v>7400</v>
      </c>
      <c r="E3169" t="s">
        <v>49</v>
      </c>
      <c r="F3169" t="s">
        <v>44</v>
      </c>
      <c r="G3169">
        <v>2009</v>
      </c>
      <c r="H3169" t="s">
        <v>50</v>
      </c>
      <c r="K3169" t="s">
        <v>25</v>
      </c>
      <c r="L3169" t="s">
        <v>30</v>
      </c>
      <c r="M3169" t="b">
        <v>1</v>
      </c>
      <c r="N3169" t="s">
        <v>3426</v>
      </c>
      <c r="P3169" t="s">
        <v>7401</v>
      </c>
      <c r="Q3169" t="b">
        <v>0</v>
      </c>
      <c r="T3169" t="str">
        <f>"9780310828884"</f>
        <v>9780310828884</v>
      </c>
      <c r="U3169" t="b">
        <v>0</v>
      </c>
      <c r="W3169" t="b">
        <v>0</v>
      </c>
    </row>
    <row r="3170" spans="1:23" x14ac:dyDescent="0.3">
      <c r="A3170">
        <v>1948630</v>
      </c>
      <c r="B3170">
        <v>60.37</v>
      </c>
      <c r="C3170" t="s">
        <v>7402</v>
      </c>
      <c r="D3170" t="s">
        <v>7403</v>
      </c>
      <c r="E3170" t="s">
        <v>49</v>
      </c>
      <c r="F3170" t="s">
        <v>44</v>
      </c>
      <c r="G3170">
        <v>2009</v>
      </c>
      <c r="H3170" t="s">
        <v>50</v>
      </c>
      <c r="I3170" t="s">
        <v>7404</v>
      </c>
      <c r="J3170" t="s">
        <v>895</v>
      </c>
      <c r="K3170" t="s">
        <v>25</v>
      </c>
      <c r="L3170" t="s">
        <v>30</v>
      </c>
      <c r="M3170" t="b">
        <v>1</v>
      </c>
      <c r="N3170" t="s">
        <v>3426</v>
      </c>
      <c r="O3170" t="str">
        <f>"264/.00835"</f>
        <v>264/.00835</v>
      </c>
      <c r="P3170" t="s">
        <v>7401</v>
      </c>
      <c r="Q3170" t="b">
        <v>0</v>
      </c>
      <c r="T3170" t="str">
        <f>"9780310850885"</f>
        <v>9780310850885</v>
      </c>
      <c r="U3170" t="b">
        <v>0</v>
      </c>
      <c r="W3170" t="b">
        <v>0</v>
      </c>
    </row>
    <row r="3171" spans="1:23" x14ac:dyDescent="0.3">
      <c r="A3171">
        <v>1948629</v>
      </c>
      <c r="B3171">
        <v>58.62</v>
      </c>
      <c r="C3171" t="s">
        <v>7405</v>
      </c>
      <c r="D3171" t="s">
        <v>7406</v>
      </c>
      <c r="E3171" t="s">
        <v>49</v>
      </c>
      <c r="F3171" t="s">
        <v>44</v>
      </c>
      <c r="G3171">
        <v>2011</v>
      </c>
      <c r="H3171" t="s">
        <v>50</v>
      </c>
      <c r="I3171" t="s">
        <v>7407</v>
      </c>
      <c r="J3171" t="s">
        <v>895</v>
      </c>
      <c r="K3171" t="s">
        <v>25</v>
      </c>
      <c r="L3171" t="s">
        <v>30</v>
      </c>
      <c r="M3171" t="b">
        <v>1</v>
      </c>
      <c r="N3171" t="s">
        <v>7408</v>
      </c>
      <c r="O3171" t="str">
        <f>"200.71"</f>
        <v>200.71</v>
      </c>
      <c r="Q3171" t="b">
        <v>0</v>
      </c>
      <c r="S3171" t="str">
        <f>"9780310494096"</f>
        <v>9780310494096</v>
      </c>
      <c r="T3171" t="str">
        <f>"9780310396222"</f>
        <v>9780310396222</v>
      </c>
      <c r="U3171" t="b">
        <v>0</v>
      </c>
      <c r="W3171" t="b">
        <v>0</v>
      </c>
    </row>
    <row r="3172" spans="1:23" x14ac:dyDescent="0.3">
      <c r="A3172">
        <v>1948628</v>
      </c>
      <c r="B3172">
        <v>51.72</v>
      </c>
      <c r="C3172" t="s">
        <v>7409</v>
      </c>
      <c r="D3172" t="s">
        <v>7410</v>
      </c>
      <c r="E3172" t="s">
        <v>23</v>
      </c>
      <c r="F3172" t="s">
        <v>44</v>
      </c>
      <c r="G3172">
        <v>2010</v>
      </c>
      <c r="H3172" t="s">
        <v>50</v>
      </c>
      <c r="I3172" t="s">
        <v>7411</v>
      </c>
      <c r="J3172" t="s">
        <v>895</v>
      </c>
      <c r="K3172" t="s">
        <v>25</v>
      </c>
      <c r="L3172" t="s">
        <v>30</v>
      </c>
      <c r="M3172" t="b">
        <v>1</v>
      </c>
      <c r="N3172" t="s">
        <v>1443</v>
      </c>
      <c r="O3172" t="str">
        <f>"251/.08"</f>
        <v>251/.08</v>
      </c>
      <c r="Q3172" t="b">
        <v>0</v>
      </c>
      <c r="S3172" t="str">
        <f>"9780310224648"</f>
        <v>9780310224648</v>
      </c>
      <c r="T3172" t="str">
        <f>"9780310877622"</f>
        <v>9780310877622</v>
      </c>
      <c r="U3172" t="b">
        <v>0</v>
      </c>
      <c r="W3172" t="b">
        <v>0</v>
      </c>
    </row>
    <row r="3173" spans="1:23" x14ac:dyDescent="0.3">
      <c r="A3173">
        <v>1948627</v>
      </c>
      <c r="B3173">
        <v>99.46</v>
      </c>
      <c r="C3173" t="s">
        <v>7412</v>
      </c>
      <c r="D3173" t="s">
        <v>7413</v>
      </c>
      <c r="E3173" t="s">
        <v>49</v>
      </c>
      <c r="F3173" t="s">
        <v>44</v>
      </c>
      <c r="G3173">
        <v>2001</v>
      </c>
      <c r="H3173" t="s">
        <v>50</v>
      </c>
      <c r="I3173" t="s">
        <v>7414</v>
      </c>
      <c r="J3173" t="s">
        <v>7415</v>
      </c>
      <c r="K3173" t="s">
        <v>25</v>
      </c>
      <c r="L3173" t="s">
        <v>30</v>
      </c>
      <c r="M3173" t="b">
        <v>1</v>
      </c>
      <c r="N3173" t="s">
        <v>7416</v>
      </c>
      <c r="O3173" t="str">
        <f>"259/.23"</f>
        <v>259/.23</v>
      </c>
      <c r="P3173" t="s">
        <v>7172</v>
      </c>
      <c r="Q3173" t="b">
        <v>0</v>
      </c>
      <c r="S3173" t="str">
        <f>"9780310234067"</f>
        <v>9780310234067</v>
      </c>
      <c r="T3173" t="str">
        <f>"9780310855088"</f>
        <v>9780310855088</v>
      </c>
      <c r="U3173" t="b">
        <v>0</v>
      </c>
      <c r="W3173" t="b">
        <v>0</v>
      </c>
    </row>
    <row r="3174" spans="1:23" x14ac:dyDescent="0.3">
      <c r="A3174">
        <v>1948626</v>
      </c>
      <c r="B3174">
        <v>51.72</v>
      </c>
      <c r="C3174" t="s">
        <v>7417</v>
      </c>
      <c r="D3174" t="s">
        <v>7418</v>
      </c>
      <c r="E3174" t="s">
        <v>23</v>
      </c>
      <c r="F3174" t="s">
        <v>44</v>
      </c>
      <c r="G3174">
        <v>2010</v>
      </c>
      <c r="H3174" t="s">
        <v>50</v>
      </c>
      <c r="I3174" t="s">
        <v>7419</v>
      </c>
      <c r="J3174" t="s">
        <v>895</v>
      </c>
      <c r="K3174" t="s">
        <v>25</v>
      </c>
      <c r="L3174" t="s">
        <v>30</v>
      </c>
      <c r="M3174" t="b">
        <v>1</v>
      </c>
      <c r="N3174" t="s">
        <v>7165</v>
      </c>
      <c r="O3174" t="str">
        <f>"268/.67"</f>
        <v>268/.67</v>
      </c>
      <c r="Q3174" t="b">
        <v>0</v>
      </c>
      <c r="S3174" t="str">
        <f>"9780310233008"</f>
        <v>9780310233008</v>
      </c>
      <c r="T3174" t="str">
        <f>"9780310873846"</f>
        <v>9780310873846</v>
      </c>
      <c r="U3174" t="b">
        <v>0</v>
      </c>
      <c r="W3174" t="b">
        <v>0</v>
      </c>
    </row>
    <row r="3175" spans="1:23" x14ac:dyDescent="0.3">
      <c r="A3175">
        <v>1948625</v>
      </c>
      <c r="B3175">
        <v>31.02</v>
      </c>
      <c r="C3175" t="s">
        <v>7420</v>
      </c>
      <c r="D3175" t="s">
        <v>7421</v>
      </c>
      <c r="E3175" t="s">
        <v>49</v>
      </c>
      <c r="F3175" t="s">
        <v>44</v>
      </c>
      <c r="G3175">
        <v>2009</v>
      </c>
      <c r="H3175" t="s">
        <v>50</v>
      </c>
      <c r="K3175" t="s">
        <v>25</v>
      </c>
      <c r="L3175" t="s">
        <v>30</v>
      </c>
      <c r="M3175" t="b">
        <v>1</v>
      </c>
      <c r="N3175" t="s">
        <v>5773</v>
      </c>
      <c r="P3175" t="s">
        <v>7378</v>
      </c>
      <c r="Q3175" t="b">
        <v>0</v>
      </c>
      <c r="S3175" t="str">
        <f>"9780310282679"</f>
        <v>9780310282679</v>
      </c>
      <c r="T3175" t="str">
        <f>"9780310867500"</f>
        <v>9780310867500</v>
      </c>
      <c r="U3175" t="b">
        <v>0</v>
      </c>
      <c r="W3175" t="b">
        <v>0</v>
      </c>
    </row>
    <row r="3176" spans="1:23" x14ac:dyDescent="0.3">
      <c r="A3176">
        <v>1948624</v>
      </c>
      <c r="B3176">
        <v>34.47</v>
      </c>
      <c r="C3176" t="s">
        <v>7422</v>
      </c>
      <c r="D3176" t="s">
        <v>7423</v>
      </c>
      <c r="E3176" t="s">
        <v>23</v>
      </c>
      <c r="F3176" t="s">
        <v>44</v>
      </c>
      <c r="G3176">
        <v>2005</v>
      </c>
      <c r="H3176" t="s">
        <v>50</v>
      </c>
      <c r="I3176" t="s">
        <v>7151</v>
      </c>
      <c r="J3176" t="s">
        <v>7424</v>
      </c>
      <c r="K3176" t="s">
        <v>25</v>
      </c>
      <c r="L3176" t="s">
        <v>30</v>
      </c>
      <c r="M3176" t="b">
        <v>1</v>
      </c>
      <c r="N3176" t="s">
        <v>7425</v>
      </c>
      <c r="O3176" t="str">
        <f>"259/.23"</f>
        <v>259/.23</v>
      </c>
      <c r="Q3176" t="b">
        <v>0</v>
      </c>
      <c r="S3176" t="str">
        <f>"9780310258018"</f>
        <v>9780310258018</v>
      </c>
      <c r="T3176" t="str">
        <f>"9780310853282"</f>
        <v>9780310853282</v>
      </c>
      <c r="U3176" t="b">
        <v>0</v>
      </c>
      <c r="W3176" t="b">
        <v>0</v>
      </c>
    </row>
    <row r="3177" spans="1:23" x14ac:dyDescent="0.3">
      <c r="A3177">
        <v>1948623</v>
      </c>
      <c r="B3177">
        <v>35.5</v>
      </c>
      <c r="C3177" t="s">
        <v>7426</v>
      </c>
      <c r="D3177" t="s">
        <v>7427</v>
      </c>
      <c r="E3177" t="s">
        <v>23</v>
      </c>
      <c r="F3177" t="s">
        <v>44</v>
      </c>
      <c r="G3177">
        <v>2010</v>
      </c>
      <c r="H3177" t="s">
        <v>50</v>
      </c>
      <c r="I3177" t="s">
        <v>7151</v>
      </c>
      <c r="J3177" t="s">
        <v>895</v>
      </c>
      <c r="K3177" t="s">
        <v>25</v>
      </c>
      <c r="L3177" t="s">
        <v>30</v>
      </c>
      <c r="M3177" t="b">
        <v>1</v>
      </c>
      <c r="N3177" t="s">
        <v>6237</v>
      </c>
      <c r="O3177" t="str">
        <f>"268/.433"</f>
        <v>268/.433</v>
      </c>
      <c r="Q3177" t="b">
        <v>0</v>
      </c>
      <c r="T3177" t="str">
        <f>"9780310855033"</f>
        <v>9780310855033</v>
      </c>
      <c r="U3177" t="b">
        <v>0</v>
      </c>
      <c r="W3177" t="b">
        <v>0</v>
      </c>
    </row>
    <row r="3178" spans="1:23" x14ac:dyDescent="0.3">
      <c r="A3178">
        <v>1948622</v>
      </c>
      <c r="B3178">
        <v>68.97</v>
      </c>
      <c r="C3178" t="s">
        <v>7428</v>
      </c>
      <c r="D3178" t="s">
        <v>7429</v>
      </c>
      <c r="E3178" t="s">
        <v>49</v>
      </c>
      <c r="F3178" t="s">
        <v>44</v>
      </c>
      <c r="G3178">
        <v>2010</v>
      </c>
      <c r="H3178" t="s">
        <v>50</v>
      </c>
      <c r="K3178" t="s">
        <v>25</v>
      </c>
      <c r="L3178" t="s">
        <v>30</v>
      </c>
      <c r="M3178" t="b">
        <v>1</v>
      </c>
      <c r="N3178" t="s">
        <v>7200</v>
      </c>
      <c r="Q3178" t="b">
        <v>0</v>
      </c>
      <c r="S3178" t="str">
        <f>"9780310265696"</f>
        <v>9780310265696</v>
      </c>
      <c r="T3178" t="str">
        <f>"9780310854968"</f>
        <v>9780310854968</v>
      </c>
      <c r="U3178" t="b">
        <v>0</v>
      </c>
      <c r="W3178" t="b">
        <v>0</v>
      </c>
    </row>
    <row r="3179" spans="1:23" x14ac:dyDescent="0.3">
      <c r="A3179">
        <v>1948621</v>
      </c>
      <c r="B3179">
        <v>60.37</v>
      </c>
      <c r="C3179" t="s">
        <v>7430</v>
      </c>
      <c r="D3179" t="s">
        <v>7431</v>
      </c>
      <c r="E3179" t="s">
        <v>49</v>
      </c>
      <c r="F3179" t="s">
        <v>44</v>
      </c>
      <c r="G3179">
        <v>2009</v>
      </c>
      <c r="H3179" t="s">
        <v>50</v>
      </c>
      <c r="K3179" t="s">
        <v>25</v>
      </c>
      <c r="L3179" t="s">
        <v>30</v>
      </c>
      <c r="M3179" t="b">
        <v>1</v>
      </c>
      <c r="N3179" t="s">
        <v>5763</v>
      </c>
      <c r="P3179" t="s">
        <v>5764</v>
      </c>
      <c r="Q3179" t="b">
        <v>0</v>
      </c>
      <c r="T3179" t="str">
        <f>"9780310867494"</f>
        <v>9780310867494</v>
      </c>
      <c r="U3179" t="b">
        <v>0</v>
      </c>
      <c r="W3179" t="b">
        <v>0</v>
      </c>
    </row>
    <row r="3180" spans="1:23" x14ac:dyDescent="0.3">
      <c r="A3180">
        <v>1948620</v>
      </c>
      <c r="B3180">
        <v>44.82</v>
      </c>
      <c r="C3180" t="s">
        <v>7432</v>
      </c>
      <c r="D3180" t="s">
        <v>7433</v>
      </c>
      <c r="E3180" t="s">
        <v>49</v>
      </c>
      <c r="F3180" t="s">
        <v>44</v>
      </c>
      <c r="G3180">
        <v>2010</v>
      </c>
      <c r="H3180" t="s">
        <v>56</v>
      </c>
      <c r="K3180" t="s">
        <v>25</v>
      </c>
      <c r="L3180" t="s">
        <v>30</v>
      </c>
      <c r="M3180" t="b">
        <v>1</v>
      </c>
      <c r="N3180" t="s">
        <v>1285</v>
      </c>
      <c r="Q3180" t="b">
        <v>0</v>
      </c>
      <c r="S3180" t="str">
        <f>"9780310669364"</f>
        <v>9780310669364</v>
      </c>
      <c r="T3180" t="str">
        <f>"9780310392286"</f>
        <v>9780310392286</v>
      </c>
      <c r="U3180" t="b">
        <v>0</v>
      </c>
      <c r="W3180" t="b">
        <v>0</v>
      </c>
    </row>
    <row r="3181" spans="1:23" x14ac:dyDescent="0.3">
      <c r="A3181">
        <v>1948619</v>
      </c>
      <c r="B3181">
        <v>31.95</v>
      </c>
      <c r="C3181" t="s">
        <v>7434</v>
      </c>
      <c r="D3181" t="s">
        <v>7435</v>
      </c>
      <c r="E3181" t="s">
        <v>49</v>
      </c>
      <c r="F3181" t="s">
        <v>44</v>
      </c>
      <c r="G3181">
        <v>2011</v>
      </c>
      <c r="H3181" t="s">
        <v>50</v>
      </c>
      <c r="K3181" t="s">
        <v>25</v>
      </c>
      <c r="L3181" t="s">
        <v>30</v>
      </c>
      <c r="M3181" t="b">
        <v>1</v>
      </c>
      <c r="N3181" t="s">
        <v>1485</v>
      </c>
      <c r="Q3181" t="b">
        <v>0</v>
      </c>
      <c r="T3181" t="str">
        <f>"9780310574170"</f>
        <v>9780310574170</v>
      </c>
      <c r="U3181" t="b">
        <v>0</v>
      </c>
      <c r="W3181" t="b">
        <v>0</v>
      </c>
    </row>
    <row r="3182" spans="1:23" x14ac:dyDescent="0.3">
      <c r="A3182">
        <v>1948618</v>
      </c>
      <c r="B3182">
        <v>37.92</v>
      </c>
      <c r="C3182" t="s">
        <v>7436</v>
      </c>
      <c r="D3182" t="s">
        <v>7437</v>
      </c>
      <c r="E3182" t="s">
        <v>49</v>
      </c>
      <c r="F3182" t="s">
        <v>44</v>
      </c>
      <c r="G3182">
        <v>2011</v>
      </c>
      <c r="H3182" t="s">
        <v>50</v>
      </c>
      <c r="K3182" t="s">
        <v>25</v>
      </c>
      <c r="L3182" t="s">
        <v>30</v>
      </c>
      <c r="M3182" t="b">
        <v>1</v>
      </c>
      <c r="N3182" t="s">
        <v>7438</v>
      </c>
      <c r="P3182" t="s">
        <v>7191</v>
      </c>
      <c r="Q3182" t="b">
        <v>0</v>
      </c>
      <c r="S3182" t="str">
        <f>"9780310241973"</f>
        <v>9780310241973</v>
      </c>
      <c r="T3182" t="str">
        <f>"9780310852926"</f>
        <v>9780310852926</v>
      </c>
      <c r="U3182" t="b">
        <v>0</v>
      </c>
      <c r="W3182" t="b">
        <v>0</v>
      </c>
    </row>
    <row r="3183" spans="1:23" x14ac:dyDescent="0.3">
      <c r="A3183">
        <v>1948617</v>
      </c>
      <c r="B3183">
        <v>49.71</v>
      </c>
      <c r="C3183" t="s">
        <v>7439</v>
      </c>
      <c r="D3183" t="s">
        <v>7440</v>
      </c>
      <c r="E3183" t="s">
        <v>23</v>
      </c>
      <c r="F3183" t="s">
        <v>44</v>
      </c>
      <c r="G3183">
        <v>2009</v>
      </c>
      <c r="H3183" t="s">
        <v>50</v>
      </c>
      <c r="I3183" t="s">
        <v>7151</v>
      </c>
      <c r="J3183" t="s">
        <v>7441</v>
      </c>
      <c r="K3183" t="s">
        <v>25</v>
      </c>
      <c r="L3183" t="s">
        <v>30</v>
      </c>
      <c r="M3183" t="b">
        <v>1</v>
      </c>
      <c r="N3183" t="s">
        <v>7442</v>
      </c>
      <c r="O3183" t="str">
        <f>"259.2"</f>
        <v>259.2</v>
      </c>
      <c r="Q3183" t="b">
        <v>0</v>
      </c>
      <c r="S3183" t="str">
        <f>"9780310282501"</f>
        <v>9780310282501</v>
      </c>
      <c r="T3183" t="str">
        <f>"9780310577171"</f>
        <v>9780310577171</v>
      </c>
      <c r="U3183" t="b">
        <v>0</v>
      </c>
      <c r="W3183" t="b">
        <v>0</v>
      </c>
    </row>
    <row r="3184" spans="1:23" x14ac:dyDescent="0.3">
      <c r="A3184">
        <v>1948616</v>
      </c>
      <c r="B3184">
        <v>49.71</v>
      </c>
      <c r="C3184" t="s">
        <v>7443</v>
      </c>
      <c r="D3184" t="s">
        <v>7444</v>
      </c>
      <c r="E3184" t="s">
        <v>49</v>
      </c>
      <c r="F3184" t="s">
        <v>44</v>
      </c>
      <c r="G3184">
        <v>2009</v>
      </c>
      <c r="H3184" t="s">
        <v>50</v>
      </c>
      <c r="I3184" t="s">
        <v>7445</v>
      </c>
      <c r="J3184" t="s">
        <v>7446</v>
      </c>
      <c r="K3184" t="s">
        <v>25</v>
      </c>
      <c r="L3184" t="s">
        <v>30</v>
      </c>
      <c r="M3184" t="b">
        <v>1</v>
      </c>
      <c r="N3184" t="s">
        <v>7447</v>
      </c>
      <c r="O3184" t="str">
        <f>"253.09173/2"</f>
        <v>253.09173/2</v>
      </c>
      <c r="Q3184" t="b">
        <v>0</v>
      </c>
      <c r="T3184" t="str">
        <f>"9780310576907"</f>
        <v>9780310576907</v>
      </c>
      <c r="U3184" t="b">
        <v>0</v>
      </c>
      <c r="W3184" t="b">
        <v>0</v>
      </c>
    </row>
    <row r="3185" spans="1:23" x14ac:dyDescent="0.3">
      <c r="A3185">
        <v>1948615</v>
      </c>
      <c r="B3185">
        <v>58.62</v>
      </c>
      <c r="C3185" t="s">
        <v>7448</v>
      </c>
      <c r="D3185" t="s">
        <v>7449</v>
      </c>
      <c r="E3185" t="s">
        <v>23</v>
      </c>
      <c r="F3185" t="s">
        <v>44</v>
      </c>
      <c r="G3185">
        <v>2011</v>
      </c>
      <c r="H3185" t="s">
        <v>50</v>
      </c>
      <c r="I3185" t="s">
        <v>7450</v>
      </c>
      <c r="J3185" t="s">
        <v>7451</v>
      </c>
      <c r="K3185" t="s">
        <v>25</v>
      </c>
      <c r="L3185" t="s">
        <v>30</v>
      </c>
      <c r="M3185" t="b">
        <v>1</v>
      </c>
      <c r="N3185" t="s">
        <v>7452</v>
      </c>
      <c r="O3185" t="str">
        <f>"259/.23"</f>
        <v>259/.23</v>
      </c>
      <c r="Q3185" t="b">
        <v>0</v>
      </c>
      <c r="S3185" t="str">
        <f>"9780310578840"</f>
        <v>9780310578840</v>
      </c>
      <c r="T3185" t="str">
        <f>"9780310578857"</f>
        <v>9780310578857</v>
      </c>
      <c r="U3185" t="b">
        <v>0</v>
      </c>
      <c r="W3185" t="b">
        <v>0</v>
      </c>
    </row>
    <row r="3186" spans="1:23" x14ac:dyDescent="0.3">
      <c r="A3186">
        <v>1948614</v>
      </c>
      <c r="B3186">
        <v>51.72</v>
      </c>
      <c r="C3186" t="s">
        <v>7453</v>
      </c>
      <c r="D3186" t="s">
        <v>7454</v>
      </c>
      <c r="E3186" t="s">
        <v>23</v>
      </c>
      <c r="F3186" t="s">
        <v>44</v>
      </c>
      <c r="G3186">
        <v>2011</v>
      </c>
      <c r="H3186" t="s">
        <v>50</v>
      </c>
      <c r="I3186" t="s">
        <v>7455</v>
      </c>
      <c r="J3186" t="s">
        <v>7456</v>
      </c>
      <c r="K3186" t="s">
        <v>25</v>
      </c>
      <c r="L3186" t="s">
        <v>30</v>
      </c>
      <c r="M3186" t="b">
        <v>1</v>
      </c>
      <c r="N3186" t="s">
        <v>7457</v>
      </c>
      <c r="O3186" t="str">
        <f>"253.0835"</f>
        <v>253.0835</v>
      </c>
      <c r="Q3186" t="b">
        <v>0</v>
      </c>
      <c r="S3186" t="str">
        <f>"9780310670773"</f>
        <v>9780310670773</v>
      </c>
      <c r="T3186" t="str">
        <f>"9780310578659"</f>
        <v>9780310578659</v>
      </c>
      <c r="U3186" t="b">
        <v>0</v>
      </c>
      <c r="W3186" t="b">
        <v>0</v>
      </c>
    </row>
    <row r="3187" spans="1:23" x14ac:dyDescent="0.3">
      <c r="A3187">
        <v>1948613</v>
      </c>
      <c r="B3187">
        <v>42.61</v>
      </c>
      <c r="C3187" t="s">
        <v>7458</v>
      </c>
      <c r="D3187" t="s">
        <v>7459</v>
      </c>
      <c r="E3187" t="s">
        <v>23</v>
      </c>
      <c r="F3187" t="s">
        <v>44</v>
      </c>
      <c r="G3187">
        <v>2010</v>
      </c>
      <c r="H3187" t="s">
        <v>50</v>
      </c>
      <c r="I3187" t="s">
        <v>7460</v>
      </c>
      <c r="J3187" t="s">
        <v>895</v>
      </c>
      <c r="K3187" t="s">
        <v>25</v>
      </c>
      <c r="L3187" t="s">
        <v>30</v>
      </c>
      <c r="M3187" t="b">
        <v>1</v>
      </c>
      <c r="N3187" t="s">
        <v>7461</v>
      </c>
      <c r="O3187" t="str">
        <f>"259/.23"</f>
        <v>259/.23</v>
      </c>
      <c r="Q3187" t="b">
        <v>0</v>
      </c>
      <c r="S3187" t="str">
        <f>"9780310292791"</f>
        <v>9780310292791</v>
      </c>
      <c r="T3187" t="str">
        <f>"9780310599852"</f>
        <v>9780310599852</v>
      </c>
      <c r="U3187" t="b">
        <v>0</v>
      </c>
      <c r="W3187" t="b">
        <v>0</v>
      </c>
    </row>
    <row r="3188" spans="1:23" x14ac:dyDescent="0.3">
      <c r="A3188">
        <v>1948612</v>
      </c>
      <c r="B3188">
        <v>55.17</v>
      </c>
      <c r="C3188" t="s">
        <v>7462</v>
      </c>
      <c r="D3188" t="s">
        <v>7463</v>
      </c>
      <c r="E3188" t="s">
        <v>23</v>
      </c>
      <c r="F3188" t="s">
        <v>44</v>
      </c>
      <c r="G3188">
        <v>2010</v>
      </c>
      <c r="H3188" t="s">
        <v>50</v>
      </c>
      <c r="I3188" t="s">
        <v>7464</v>
      </c>
      <c r="J3188" t="s">
        <v>7465</v>
      </c>
      <c r="K3188" t="s">
        <v>25</v>
      </c>
      <c r="L3188" t="s">
        <v>30</v>
      </c>
      <c r="M3188" t="b">
        <v>1</v>
      </c>
      <c r="N3188" t="s">
        <v>1443</v>
      </c>
      <c r="O3188" t="str">
        <f>"259/.23"</f>
        <v>259/.23</v>
      </c>
      <c r="Q3188" t="b">
        <v>0</v>
      </c>
      <c r="S3188" t="str">
        <f>"9780310224426"</f>
        <v>9780310224426</v>
      </c>
      <c r="T3188" t="str">
        <f>"9780310872894"</f>
        <v>9780310872894</v>
      </c>
      <c r="U3188" t="b">
        <v>0</v>
      </c>
      <c r="V3188" t="s">
        <v>6095</v>
      </c>
      <c r="W3188" t="b">
        <v>0</v>
      </c>
    </row>
    <row r="3189" spans="1:23" x14ac:dyDescent="0.3">
      <c r="A3189">
        <v>1948611</v>
      </c>
      <c r="B3189">
        <v>79.319999999999993</v>
      </c>
      <c r="C3189" t="s">
        <v>7466</v>
      </c>
      <c r="D3189" t="s">
        <v>7467</v>
      </c>
      <c r="E3189" t="s">
        <v>49</v>
      </c>
      <c r="F3189" t="s">
        <v>44</v>
      </c>
      <c r="G3189">
        <v>2005</v>
      </c>
      <c r="H3189" t="s">
        <v>50</v>
      </c>
      <c r="I3189" t="s">
        <v>7468</v>
      </c>
      <c r="J3189" t="s">
        <v>7469</v>
      </c>
      <c r="K3189" t="s">
        <v>25</v>
      </c>
      <c r="L3189" t="s">
        <v>30</v>
      </c>
      <c r="M3189" t="b">
        <v>1</v>
      </c>
      <c r="N3189" t="s">
        <v>7470</v>
      </c>
      <c r="O3189" t="str">
        <f>"268/.67"</f>
        <v>268/.67</v>
      </c>
      <c r="Q3189" t="b">
        <v>0</v>
      </c>
      <c r="S3189" t="str">
        <f>"9780310265689"</f>
        <v>9780310265689</v>
      </c>
      <c r="T3189" t="str">
        <f>"9780310854906"</f>
        <v>9780310854906</v>
      </c>
      <c r="U3189" t="b">
        <v>0</v>
      </c>
      <c r="W3189" t="b">
        <v>0</v>
      </c>
    </row>
    <row r="3190" spans="1:23" x14ac:dyDescent="0.3">
      <c r="A3190">
        <v>1948610</v>
      </c>
      <c r="B3190">
        <v>49.71</v>
      </c>
      <c r="C3190" t="s">
        <v>7471</v>
      </c>
      <c r="D3190" t="s">
        <v>7472</v>
      </c>
      <c r="E3190" t="s">
        <v>49</v>
      </c>
      <c r="F3190" t="s">
        <v>44</v>
      </c>
      <c r="G3190">
        <v>2009</v>
      </c>
      <c r="H3190" t="s">
        <v>804</v>
      </c>
      <c r="K3190" t="s">
        <v>25</v>
      </c>
      <c r="L3190" t="s">
        <v>30</v>
      </c>
      <c r="M3190" t="b">
        <v>1</v>
      </c>
      <c r="N3190" t="s">
        <v>7473</v>
      </c>
      <c r="Q3190" t="b">
        <v>0</v>
      </c>
      <c r="T3190" t="str">
        <f>"9780310577096"</f>
        <v>9780310577096</v>
      </c>
      <c r="U3190" t="b">
        <v>0</v>
      </c>
      <c r="W3190" t="b">
        <v>0</v>
      </c>
    </row>
    <row r="3191" spans="1:23" x14ac:dyDescent="0.3">
      <c r="A3191">
        <v>1948609</v>
      </c>
      <c r="B3191">
        <v>51.72</v>
      </c>
      <c r="C3191" t="s">
        <v>7474</v>
      </c>
      <c r="D3191" t="s">
        <v>7475</v>
      </c>
      <c r="E3191" t="s">
        <v>23</v>
      </c>
      <c r="F3191" t="s">
        <v>44</v>
      </c>
      <c r="G3191">
        <v>2009</v>
      </c>
      <c r="H3191" t="s">
        <v>50</v>
      </c>
      <c r="K3191" t="s">
        <v>25</v>
      </c>
      <c r="L3191" t="s">
        <v>26</v>
      </c>
      <c r="M3191" t="b">
        <v>1</v>
      </c>
      <c r="N3191" t="s">
        <v>7476</v>
      </c>
      <c r="Q3191" t="b">
        <v>0</v>
      </c>
      <c r="S3191" t="str">
        <f>"9780310270942"</f>
        <v>9780310270942</v>
      </c>
      <c r="T3191" t="str">
        <f>"9780310831648"</f>
        <v>9780310831648</v>
      </c>
      <c r="U3191" t="b">
        <v>0</v>
      </c>
      <c r="W3191" t="b">
        <v>0</v>
      </c>
    </row>
    <row r="3192" spans="1:23" x14ac:dyDescent="0.3">
      <c r="A3192">
        <v>1948608</v>
      </c>
      <c r="B3192">
        <v>51.72</v>
      </c>
      <c r="C3192" t="s">
        <v>7477</v>
      </c>
      <c r="D3192" t="s">
        <v>7478</v>
      </c>
      <c r="E3192" t="s">
        <v>23</v>
      </c>
      <c r="F3192" t="s">
        <v>44</v>
      </c>
      <c r="G3192">
        <v>2010</v>
      </c>
      <c r="H3192" t="s">
        <v>50</v>
      </c>
      <c r="I3192" t="s">
        <v>7479</v>
      </c>
      <c r="J3192" t="s">
        <v>895</v>
      </c>
      <c r="K3192" t="s">
        <v>25</v>
      </c>
      <c r="L3192" t="s">
        <v>30</v>
      </c>
      <c r="M3192" t="b">
        <v>1</v>
      </c>
      <c r="N3192" t="s">
        <v>7480</v>
      </c>
      <c r="O3192" t="str">
        <f>"259/.23"</f>
        <v>259/.23</v>
      </c>
      <c r="Q3192" t="b">
        <v>0</v>
      </c>
      <c r="S3192" t="str">
        <f>"9780310286028"</f>
        <v>9780310286028</v>
      </c>
      <c r="T3192" t="str">
        <f>"9780310599890"</f>
        <v>9780310599890</v>
      </c>
      <c r="U3192" t="b">
        <v>0</v>
      </c>
      <c r="W3192" t="b">
        <v>0</v>
      </c>
    </row>
    <row r="3193" spans="1:23" x14ac:dyDescent="0.3">
      <c r="A3193">
        <v>1948607</v>
      </c>
      <c r="B3193">
        <v>71.03</v>
      </c>
      <c r="C3193" t="s">
        <v>7481</v>
      </c>
      <c r="E3193" t="s">
        <v>49</v>
      </c>
      <c r="F3193" t="s">
        <v>44</v>
      </c>
      <c r="G3193">
        <v>2003</v>
      </c>
      <c r="H3193" t="s">
        <v>50</v>
      </c>
      <c r="I3193" t="s">
        <v>7482</v>
      </c>
      <c r="J3193" t="s">
        <v>7483</v>
      </c>
      <c r="K3193" t="s">
        <v>25</v>
      </c>
      <c r="L3193" t="s">
        <v>30</v>
      </c>
      <c r="M3193" t="b">
        <v>1</v>
      </c>
      <c r="N3193" t="s">
        <v>7356</v>
      </c>
      <c r="O3193" t="str">
        <f>"268/.433"</f>
        <v>268/.433</v>
      </c>
      <c r="P3193" t="s">
        <v>7484</v>
      </c>
      <c r="Q3193" t="b">
        <v>0</v>
      </c>
      <c r="S3193" t="str">
        <f>"9780310250517"</f>
        <v>9780310250517</v>
      </c>
      <c r="T3193" t="str">
        <f>"9780310871880"</f>
        <v>9780310871880</v>
      </c>
      <c r="U3193" t="b">
        <v>0</v>
      </c>
      <c r="W3193" t="b">
        <v>0</v>
      </c>
    </row>
    <row r="3194" spans="1:23" x14ac:dyDescent="0.3">
      <c r="A3194">
        <v>1948606</v>
      </c>
      <c r="B3194">
        <v>44.82</v>
      </c>
      <c r="C3194" t="s">
        <v>7485</v>
      </c>
      <c r="D3194" t="s">
        <v>7486</v>
      </c>
      <c r="E3194" t="s">
        <v>49</v>
      </c>
      <c r="F3194" t="s">
        <v>44</v>
      </c>
      <c r="G3194">
        <v>2010</v>
      </c>
      <c r="H3194" t="s">
        <v>7487</v>
      </c>
      <c r="K3194" t="s">
        <v>25</v>
      </c>
      <c r="L3194" t="s">
        <v>30</v>
      </c>
      <c r="M3194" t="b">
        <v>1</v>
      </c>
      <c r="N3194" t="s">
        <v>3444</v>
      </c>
      <c r="Q3194" t="b">
        <v>0</v>
      </c>
      <c r="S3194" t="str">
        <f>"9780310201465"</f>
        <v>9780310201465</v>
      </c>
      <c r="T3194" t="str">
        <f>"9780310872702"</f>
        <v>9780310872702</v>
      </c>
      <c r="U3194" t="b">
        <v>0</v>
      </c>
      <c r="W3194" t="b">
        <v>0</v>
      </c>
    </row>
    <row r="3195" spans="1:23" x14ac:dyDescent="0.3">
      <c r="A3195">
        <v>1948605</v>
      </c>
      <c r="B3195">
        <v>34.47</v>
      </c>
      <c r="C3195" t="s">
        <v>7488</v>
      </c>
      <c r="D3195" t="s">
        <v>7489</v>
      </c>
      <c r="E3195" t="s">
        <v>23</v>
      </c>
      <c r="F3195" t="s">
        <v>44</v>
      </c>
      <c r="G3195">
        <v>2009</v>
      </c>
      <c r="H3195" t="s">
        <v>50</v>
      </c>
      <c r="I3195" t="s">
        <v>7151</v>
      </c>
      <c r="J3195" t="s">
        <v>7441</v>
      </c>
      <c r="K3195" t="s">
        <v>25</v>
      </c>
      <c r="L3195" t="s">
        <v>30</v>
      </c>
      <c r="M3195" t="b">
        <v>1</v>
      </c>
      <c r="N3195" t="s">
        <v>3442</v>
      </c>
      <c r="O3195" t="str">
        <f>"259/.2"</f>
        <v>259/.2</v>
      </c>
      <c r="Q3195" t="b">
        <v>0</v>
      </c>
      <c r="S3195" t="str">
        <f>"9780310267089"</f>
        <v>9780310267089</v>
      </c>
      <c r="T3195" t="str">
        <f>"9780310852629"</f>
        <v>9780310852629</v>
      </c>
      <c r="U3195" t="b">
        <v>0</v>
      </c>
      <c r="W3195" t="b">
        <v>0</v>
      </c>
    </row>
    <row r="3196" spans="1:23" x14ac:dyDescent="0.3">
      <c r="A3196">
        <v>1948604</v>
      </c>
      <c r="B3196">
        <v>51.72</v>
      </c>
      <c r="C3196" t="s">
        <v>7490</v>
      </c>
      <c r="D3196" t="s">
        <v>7491</v>
      </c>
      <c r="E3196" t="s">
        <v>23</v>
      </c>
      <c r="F3196" t="s">
        <v>44</v>
      </c>
      <c r="G3196">
        <v>2009</v>
      </c>
      <c r="H3196" t="s">
        <v>50</v>
      </c>
      <c r="K3196" t="s">
        <v>25</v>
      </c>
      <c r="L3196" t="s">
        <v>30</v>
      </c>
      <c r="M3196" t="b">
        <v>1</v>
      </c>
      <c r="N3196" t="s">
        <v>5770</v>
      </c>
      <c r="Q3196" t="b">
        <v>0</v>
      </c>
      <c r="S3196" t="str">
        <f>"9780310259619"</f>
        <v>9780310259619</v>
      </c>
      <c r="T3196" t="str">
        <f>"9780310831341"</f>
        <v>9780310831341</v>
      </c>
      <c r="U3196" t="b">
        <v>0</v>
      </c>
      <c r="W3196" t="b">
        <v>0</v>
      </c>
    </row>
    <row r="3197" spans="1:23" x14ac:dyDescent="0.3">
      <c r="A3197">
        <v>1948603</v>
      </c>
      <c r="B3197">
        <v>37.92</v>
      </c>
      <c r="C3197" t="s">
        <v>7492</v>
      </c>
      <c r="D3197" t="s">
        <v>7493</v>
      </c>
      <c r="E3197" t="s">
        <v>23</v>
      </c>
      <c r="F3197" t="s">
        <v>44</v>
      </c>
      <c r="G3197">
        <v>2007</v>
      </c>
      <c r="H3197" t="s">
        <v>50</v>
      </c>
      <c r="I3197" t="s">
        <v>7494</v>
      </c>
      <c r="J3197" t="s">
        <v>7495</v>
      </c>
      <c r="K3197" t="s">
        <v>25</v>
      </c>
      <c r="L3197" t="s">
        <v>30</v>
      </c>
      <c r="M3197" t="b">
        <v>1</v>
      </c>
      <c r="N3197" t="s">
        <v>6237</v>
      </c>
      <c r="O3197" t="str">
        <f>"259/.23"</f>
        <v>259/.23</v>
      </c>
      <c r="Q3197" t="b">
        <v>0</v>
      </c>
      <c r="S3197" t="str">
        <f>"9780310224631"</f>
        <v>9780310224631</v>
      </c>
      <c r="T3197" t="str">
        <f>"9780310852322"</f>
        <v>9780310852322</v>
      </c>
      <c r="U3197" t="b">
        <v>0</v>
      </c>
      <c r="W3197" t="b">
        <v>0</v>
      </c>
    </row>
    <row r="3198" spans="1:23" x14ac:dyDescent="0.3">
      <c r="A3198">
        <v>1948602</v>
      </c>
      <c r="B3198">
        <v>37.92</v>
      </c>
      <c r="C3198" t="s">
        <v>7496</v>
      </c>
      <c r="D3198" t="s">
        <v>7497</v>
      </c>
      <c r="E3198" t="s">
        <v>23</v>
      </c>
      <c r="F3198" t="s">
        <v>44</v>
      </c>
      <c r="G3198">
        <v>2010</v>
      </c>
      <c r="H3198" t="s">
        <v>50</v>
      </c>
      <c r="I3198" t="s">
        <v>7498</v>
      </c>
      <c r="J3198" t="s">
        <v>895</v>
      </c>
      <c r="K3198" t="s">
        <v>25</v>
      </c>
      <c r="L3198" t="s">
        <v>30</v>
      </c>
      <c r="M3198" t="b">
        <v>1</v>
      </c>
      <c r="N3198" t="s">
        <v>1453</v>
      </c>
      <c r="O3198" t="str">
        <f>"268/.433"</f>
        <v>268/.433</v>
      </c>
      <c r="Q3198" t="b">
        <v>0</v>
      </c>
      <c r="S3198" t="str">
        <f>"9780310213284"</f>
        <v>9780310213284</v>
      </c>
      <c r="T3198" t="str">
        <f>"9780310852209"</f>
        <v>9780310852209</v>
      </c>
      <c r="U3198" t="b">
        <v>0</v>
      </c>
      <c r="W3198" t="b">
        <v>0</v>
      </c>
    </row>
    <row r="3199" spans="1:23" x14ac:dyDescent="0.3">
      <c r="A3199">
        <v>1948601</v>
      </c>
      <c r="B3199">
        <v>31.95</v>
      </c>
      <c r="C3199" t="s">
        <v>7499</v>
      </c>
      <c r="D3199" t="s">
        <v>7500</v>
      </c>
      <c r="E3199" t="s">
        <v>23</v>
      </c>
      <c r="F3199" t="s">
        <v>44</v>
      </c>
      <c r="G3199">
        <v>2009</v>
      </c>
      <c r="H3199" t="s">
        <v>50</v>
      </c>
      <c r="I3199" t="s">
        <v>7501</v>
      </c>
      <c r="J3199" t="s">
        <v>7502</v>
      </c>
      <c r="K3199" t="s">
        <v>25</v>
      </c>
      <c r="L3199" t="s">
        <v>30</v>
      </c>
      <c r="M3199" t="b">
        <v>1</v>
      </c>
      <c r="N3199" t="s">
        <v>3426</v>
      </c>
      <c r="O3199" t="str">
        <f>"259/.23"</f>
        <v>259/.23</v>
      </c>
      <c r="Q3199" t="b">
        <v>0</v>
      </c>
      <c r="T3199" t="str">
        <f>"9780310577034"</f>
        <v>9780310577034</v>
      </c>
      <c r="U3199" t="b">
        <v>0</v>
      </c>
      <c r="W3199" t="b">
        <v>0</v>
      </c>
    </row>
    <row r="3200" spans="1:23" x14ac:dyDescent="0.3">
      <c r="A3200">
        <v>1948600</v>
      </c>
      <c r="B3200">
        <v>60.37</v>
      </c>
      <c r="C3200" t="s">
        <v>7503</v>
      </c>
      <c r="D3200" t="s">
        <v>7504</v>
      </c>
      <c r="E3200" t="s">
        <v>49</v>
      </c>
      <c r="F3200" t="s">
        <v>44</v>
      </c>
      <c r="G3200">
        <v>2009</v>
      </c>
      <c r="H3200" t="s">
        <v>50</v>
      </c>
      <c r="K3200" t="s">
        <v>25</v>
      </c>
      <c r="L3200" t="s">
        <v>30</v>
      </c>
      <c r="M3200" t="b">
        <v>1</v>
      </c>
      <c r="N3200" t="s">
        <v>5763</v>
      </c>
      <c r="P3200" t="s">
        <v>5764</v>
      </c>
      <c r="Q3200" t="b">
        <v>0</v>
      </c>
      <c r="T3200" t="str">
        <f>"9780310867326"</f>
        <v>9780310867326</v>
      </c>
      <c r="U3200" t="b">
        <v>0</v>
      </c>
      <c r="W3200" t="b">
        <v>0</v>
      </c>
    </row>
    <row r="3201" spans="1:23" x14ac:dyDescent="0.3">
      <c r="A3201">
        <v>1948599</v>
      </c>
      <c r="B3201">
        <v>37.92</v>
      </c>
      <c r="C3201" t="s">
        <v>7505</v>
      </c>
      <c r="D3201" t="s">
        <v>7506</v>
      </c>
      <c r="E3201" t="s">
        <v>49</v>
      </c>
      <c r="F3201" t="s">
        <v>44</v>
      </c>
      <c r="G3201">
        <v>2010</v>
      </c>
      <c r="H3201" t="s">
        <v>50</v>
      </c>
      <c r="K3201" t="s">
        <v>25</v>
      </c>
      <c r="L3201" t="s">
        <v>30</v>
      </c>
      <c r="M3201" t="b">
        <v>1</v>
      </c>
      <c r="N3201" t="s">
        <v>7197</v>
      </c>
      <c r="P3201" t="s">
        <v>7191</v>
      </c>
      <c r="Q3201" t="b">
        <v>0</v>
      </c>
      <c r="S3201" t="str">
        <f>"9780310224396"</f>
        <v>9780310224396</v>
      </c>
      <c r="T3201" t="str">
        <f>"9780310852148"</f>
        <v>9780310852148</v>
      </c>
      <c r="U3201" t="b">
        <v>0</v>
      </c>
      <c r="W3201" t="b">
        <v>0</v>
      </c>
    </row>
    <row r="3202" spans="1:23" x14ac:dyDescent="0.3">
      <c r="A3202">
        <v>1948598</v>
      </c>
      <c r="B3202">
        <v>71.03</v>
      </c>
      <c r="C3202" t="s">
        <v>7507</v>
      </c>
      <c r="D3202" t="s">
        <v>7508</v>
      </c>
      <c r="E3202" t="s">
        <v>49</v>
      </c>
      <c r="F3202" t="s">
        <v>44</v>
      </c>
      <c r="G3202">
        <v>2011</v>
      </c>
      <c r="H3202" t="s">
        <v>50</v>
      </c>
      <c r="I3202" t="s">
        <v>7151</v>
      </c>
      <c r="J3202" t="s">
        <v>7441</v>
      </c>
      <c r="K3202" t="s">
        <v>25</v>
      </c>
      <c r="L3202" t="s">
        <v>30</v>
      </c>
      <c r="M3202" t="b">
        <v>1</v>
      </c>
      <c r="N3202" t="s">
        <v>7509</v>
      </c>
      <c r="O3202" t="str">
        <f>"259/.23"</f>
        <v>259/.23</v>
      </c>
      <c r="Q3202" t="b">
        <v>0</v>
      </c>
      <c r="S3202" t="str">
        <f>"9780310670377"</f>
        <v>9780310670377</v>
      </c>
      <c r="T3202" t="str">
        <f>"9780310410553"</f>
        <v>9780310410553</v>
      </c>
      <c r="U3202" t="b">
        <v>0</v>
      </c>
      <c r="W3202" t="b">
        <v>0</v>
      </c>
    </row>
    <row r="3203" spans="1:23" x14ac:dyDescent="0.3">
      <c r="A3203">
        <v>1948597</v>
      </c>
      <c r="B3203">
        <v>51.72</v>
      </c>
      <c r="C3203" t="s">
        <v>7510</v>
      </c>
      <c r="D3203" t="s">
        <v>7511</v>
      </c>
      <c r="E3203" t="s">
        <v>23</v>
      </c>
      <c r="F3203" t="s">
        <v>44</v>
      </c>
      <c r="G3203">
        <v>2009</v>
      </c>
      <c r="H3203" t="s">
        <v>50</v>
      </c>
      <c r="K3203" t="s">
        <v>25</v>
      </c>
      <c r="L3203" t="s">
        <v>26</v>
      </c>
      <c r="M3203" t="b">
        <v>1</v>
      </c>
      <c r="N3203" t="s">
        <v>7512</v>
      </c>
      <c r="Q3203" t="b">
        <v>0</v>
      </c>
      <c r="S3203" t="str">
        <f>"9780310267478"</f>
        <v>9780310267478</v>
      </c>
      <c r="T3203" t="str">
        <f>"9780310852025"</f>
        <v>9780310852025</v>
      </c>
      <c r="U3203" t="b">
        <v>0</v>
      </c>
      <c r="W3203" t="b">
        <v>0</v>
      </c>
    </row>
    <row r="3204" spans="1:23" x14ac:dyDescent="0.3">
      <c r="A3204">
        <v>1948596</v>
      </c>
      <c r="B3204">
        <v>37.92</v>
      </c>
      <c r="C3204" t="s">
        <v>7513</v>
      </c>
      <c r="D3204" t="s">
        <v>7514</v>
      </c>
      <c r="E3204" t="s">
        <v>49</v>
      </c>
      <c r="F3204" t="s">
        <v>44</v>
      </c>
      <c r="G3204">
        <v>2009</v>
      </c>
      <c r="H3204" t="s">
        <v>50</v>
      </c>
      <c r="K3204" t="s">
        <v>25</v>
      </c>
      <c r="L3204" t="s">
        <v>30</v>
      </c>
      <c r="M3204" t="b">
        <v>1</v>
      </c>
      <c r="N3204" t="s">
        <v>7197</v>
      </c>
      <c r="P3204" t="s">
        <v>7191</v>
      </c>
      <c r="Q3204" t="b">
        <v>0</v>
      </c>
      <c r="S3204" t="str">
        <f>"9780310273158"</f>
        <v>9780310273158</v>
      </c>
      <c r="T3204" t="str">
        <f>"9780310851967"</f>
        <v>9780310851967</v>
      </c>
      <c r="U3204" t="b">
        <v>0</v>
      </c>
      <c r="W3204" t="b">
        <v>0</v>
      </c>
    </row>
    <row r="3205" spans="1:23" x14ac:dyDescent="0.3">
      <c r="A3205">
        <v>1948595</v>
      </c>
      <c r="B3205">
        <v>44.82</v>
      </c>
      <c r="C3205" t="s">
        <v>7515</v>
      </c>
      <c r="D3205" t="s">
        <v>7516</v>
      </c>
      <c r="E3205" t="s">
        <v>23</v>
      </c>
      <c r="F3205" t="s">
        <v>44</v>
      </c>
      <c r="G3205">
        <v>2007</v>
      </c>
      <c r="H3205" t="s">
        <v>50</v>
      </c>
      <c r="I3205" t="s">
        <v>7151</v>
      </c>
      <c r="J3205" t="s">
        <v>7517</v>
      </c>
      <c r="K3205" t="s">
        <v>25</v>
      </c>
      <c r="L3205" t="s">
        <v>30</v>
      </c>
      <c r="M3205" t="b">
        <v>1</v>
      </c>
      <c r="N3205" t="s">
        <v>7156</v>
      </c>
      <c r="O3205" t="str">
        <f>"259/.23"</f>
        <v>259/.23</v>
      </c>
      <c r="Q3205" t="b">
        <v>0</v>
      </c>
      <c r="S3205" t="str">
        <f>"9780310272168"</f>
        <v>9780310272168</v>
      </c>
      <c r="T3205" t="str">
        <f>"9780310830863"</f>
        <v>9780310830863</v>
      </c>
      <c r="U3205" t="b">
        <v>0</v>
      </c>
      <c r="W3205" t="b">
        <v>0</v>
      </c>
    </row>
    <row r="3206" spans="1:23" x14ac:dyDescent="0.3">
      <c r="A3206">
        <v>1948594</v>
      </c>
      <c r="B3206">
        <v>71.03</v>
      </c>
      <c r="C3206" t="s">
        <v>7518</v>
      </c>
      <c r="E3206" t="s">
        <v>49</v>
      </c>
      <c r="F3206" t="s">
        <v>44</v>
      </c>
      <c r="G3206">
        <v>2010</v>
      </c>
      <c r="H3206" t="s">
        <v>50</v>
      </c>
      <c r="I3206" t="s">
        <v>7519</v>
      </c>
      <c r="J3206" t="s">
        <v>7520</v>
      </c>
      <c r="K3206" t="s">
        <v>25</v>
      </c>
      <c r="L3206" t="s">
        <v>30</v>
      </c>
      <c r="M3206" t="b">
        <v>1</v>
      </c>
      <c r="N3206" t="s">
        <v>7356</v>
      </c>
      <c r="O3206" t="str">
        <f>"790.1/922"</f>
        <v>790.1/922</v>
      </c>
      <c r="P3206" t="s">
        <v>7484</v>
      </c>
      <c r="Q3206" t="b">
        <v>0</v>
      </c>
      <c r="S3206" t="str">
        <f>"9780310220305"</f>
        <v>9780310220305</v>
      </c>
      <c r="T3206" t="str">
        <f>"9780310872429"</f>
        <v>9780310872429</v>
      </c>
      <c r="U3206" t="b">
        <v>0</v>
      </c>
      <c r="W3206" t="b">
        <v>0</v>
      </c>
    </row>
    <row r="3207" spans="1:23" x14ac:dyDescent="0.3">
      <c r="A3207">
        <v>1948593</v>
      </c>
      <c r="B3207">
        <v>42.61</v>
      </c>
      <c r="C3207" t="s">
        <v>7521</v>
      </c>
      <c r="D3207" t="s">
        <v>7522</v>
      </c>
      <c r="E3207" t="s">
        <v>23</v>
      </c>
      <c r="F3207" t="s">
        <v>44</v>
      </c>
      <c r="G3207">
        <v>2009</v>
      </c>
      <c r="H3207" t="s">
        <v>50</v>
      </c>
      <c r="I3207" t="s">
        <v>7523</v>
      </c>
      <c r="J3207" t="s">
        <v>7524</v>
      </c>
      <c r="K3207" t="s">
        <v>25</v>
      </c>
      <c r="L3207" t="s">
        <v>30</v>
      </c>
      <c r="M3207" t="b">
        <v>1</v>
      </c>
      <c r="N3207" t="s">
        <v>7525</v>
      </c>
      <c r="O3207" t="str">
        <f>"251"</f>
        <v>251</v>
      </c>
      <c r="Q3207" t="b">
        <v>0</v>
      </c>
      <c r="S3207" t="str">
        <f>"9780310255147"</f>
        <v>9780310255147</v>
      </c>
      <c r="T3207" t="str">
        <f>"9780310830504"</f>
        <v>9780310830504</v>
      </c>
      <c r="U3207" t="b">
        <v>0</v>
      </c>
      <c r="W3207" t="b">
        <v>0</v>
      </c>
    </row>
    <row r="3208" spans="1:23" x14ac:dyDescent="0.3">
      <c r="A3208">
        <v>1948592</v>
      </c>
      <c r="B3208">
        <v>49.71</v>
      </c>
      <c r="C3208" t="s">
        <v>7526</v>
      </c>
      <c r="D3208" t="s">
        <v>7527</v>
      </c>
      <c r="E3208" t="s">
        <v>23</v>
      </c>
      <c r="F3208" t="s">
        <v>44</v>
      </c>
      <c r="G3208">
        <v>2009</v>
      </c>
      <c r="H3208" t="s">
        <v>50</v>
      </c>
      <c r="K3208" t="s">
        <v>25</v>
      </c>
      <c r="L3208" t="s">
        <v>30</v>
      </c>
      <c r="M3208" t="b">
        <v>1</v>
      </c>
      <c r="N3208" t="s">
        <v>7528</v>
      </c>
      <c r="Q3208" t="b">
        <v>0</v>
      </c>
      <c r="T3208" t="str">
        <f>"9780310557586"</f>
        <v>9780310557586</v>
      </c>
      <c r="U3208" t="b">
        <v>0</v>
      </c>
      <c r="W3208" t="b">
        <v>0</v>
      </c>
    </row>
    <row r="3209" spans="1:23" x14ac:dyDescent="0.3">
      <c r="A3209">
        <v>1948591</v>
      </c>
      <c r="B3209">
        <v>62.07</v>
      </c>
      <c r="C3209" t="s">
        <v>7529</v>
      </c>
      <c r="D3209" t="s">
        <v>7530</v>
      </c>
      <c r="E3209" t="s">
        <v>49</v>
      </c>
      <c r="F3209" t="s">
        <v>44</v>
      </c>
      <c r="G3209">
        <v>2009</v>
      </c>
      <c r="H3209" t="s">
        <v>1044</v>
      </c>
      <c r="I3209" t="s">
        <v>7531</v>
      </c>
      <c r="J3209" t="s">
        <v>895</v>
      </c>
      <c r="K3209" t="s">
        <v>25</v>
      </c>
      <c r="L3209" t="s">
        <v>30</v>
      </c>
      <c r="M3209" t="b">
        <v>1</v>
      </c>
      <c r="N3209" t="s">
        <v>910</v>
      </c>
      <c r="O3209" t="str">
        <f>"264"</f>
        <v>264</v>
      </c>
      <c r="Q3209" t="b">
        <v>0</v>
      </c>
      <c r="S3209" t="str">
        <f>"9780310256441"</f>
        <v>9780310256441</v>
      </c>
      <c r="T3209" t="str">
        <f>"9780310858508"</f>
        <v>9780310858508</v>
      </c>
      <c r="U3209" t="b">
        <v>0</v>
      </c>
      <c r="W3209" t="b">
        <v>0</v>
      </c>
    </row>
    <row r="3210" spans="1:23" x14ac:dyDescent="0.3">
      <c r="A3210">
        <v>1948590</v>
      </c>
      <c r="B3210">
        <v>68.97</v>
      </c>
      <c r="C3210" t="s">
        <v>7532</v>
      </c>
      <c r="D3210" t="s">
        <v>7533</v>
      </c>
      <c r="E3210" t="s">
        <v>49</v>
      </c>
      <c r="F3210" t="s">
        <v>44</v>
      </c>
      <c r="G3210">
        <v>2010</v>
      </c>
      <c r="H3210" t="s">
        <v>50</v>
      </c>
      <c r="I3210" t="s">
        <v>7534</v>
      </c>
      <c r="J3210" t="s">
        <v>7535</v>
      </c>
      <c r="K3210" t="s">
        <v>25</v>
      </c>
      <c r="L3210" t="s">
        <v>30</v>
      </c>
      <c r="M3210" t="b">
        <v>1</v>
      </c>
      <c r="N3210" t="s">
        <v>7356</v>
      </c>
      <c r="O3210" t="str">
        <f>"259.23"</f>
        <v>259.23</v>
      </c>
      <c r="P3210" t="s">
        <v>7484</v>
      </c>
      <c r="Q3210" t="b">
        <v>0</v>
      </c>
      <c r="S3210" t="str">
        <f>"9780310238232"</f>
        <v>9780310238232</v>
      </c>
      <c r="T3210" t="str">
        <f>"9780310872078"</f>
        <v>9780310872078</v>
      </c>
      <c r="U3210" t="b">
        <v>0</v>
      </c>
      <c r="W3210" t="b">
        <v>0</v>
      </c>
    </row>
    <row r="3211" spans="1:23" x14ac:dyDescent="0.3">
      <c r="A3211">
        <v>1948589</v>
      </c>
      <c r="B3211">
        <v>71.03</v>
      </c>
      <c r="C3211" t="s">
        <v>7536</v>
      </c>
      <c r="E3211" t="s">
        <v>49</v>
      </c>
      <c r="F3211" t="s">
        <v>44</v>
      </c>
      <c r="G3211">
        <v>2010</v>
      </c>
      <c r="H3211" t="s">
        <v>50</v>
      </c>
      <c r="I3211" t="s">
        <v>7534</v>
      </c>
      <c r="J3211" t="s">
        <v>7537</v>
      </c>
      <c r="K3211" t="s">
        <v>25</v>
      </c>
      <c r="L3211" t="s">
        <v>30</v>
      </c>
      <c r="M3211" t="b">
        <v>1</v>
      </c>
      <c r="N3211" t="s">
        <v>7356</v>
      </c>
      <c r="O3211" t="str">
        <f>"259.23"</f>
        <v>259.23</v>
      </c>
      <c r="P3211" t="s">
        <v>7484</v>
      </c>
      <c r="Q3211" t="b">
        <v>0</v>
      </c>
      <c r="T3211" t="str">
        <f>"9780310872061"</f>
        <v>9780310872061</v>
      </c>
      <c r="U3211" t="b">
        <v>0</v>
      </c>
      <c r="W3211" t="b">
        <v>0</v>
      </c>
    </row>
    <row r="3212" spans="1:23" x14ac:dyDescent="0.3">
      <c r="A3212">
        <v>1948588</v>
      </c>
      <c r="B3212">
        <v>58.62</v>
      </c>
      <c r="C3212" t="s">
        <v>7538</v>
      </c>
      <c r="D3212" t="s">
        <v>7539</v>
      </c>
      <c r="E3212" t="s">
        <v>23</v>
      </c>
      <c r="F3212" t="s">
        <v>44</v>
      </c>
      <c r="G3212">
        <v>2004</v>
      </c>
      <c r="H3212" t="s">
        <v>50</v>
      </c>
      <c r="I3212" t="s">
        <v>7151</v>
      </c>
      <c r="J3212" t="s">
        <v>7540</v>
      </c>
      <c r="K3212" t="s">
        <v>25</v>
      </c>
      <c r="L3212" t="s">
        <v>26</v>
      </c>
      <c r="M3212" t="b">
        <v>1</v>
      </c>
      <c r="N3212" t="s">
        <v>7156</v>
      </c>
      <c r="O3212" t="str">
        <f>"259/.23"</f>
        <v>259/.23</v>
      </c>
      <c r="Q3212" t="b">
        <v>0</v>
      </c>
      <c r="S3212" t="str">
        <f>"9780310256601"</f>
        <v>9780310256601</v>
      </c>
      <c r="T3212" t="str">
        <f>"9780310830146"</f>
        <v>9780310830146</v>
      </c>
      <c r="U3212" t="b">
        <v>0</v>
      </c>
      <c r="W3212" t="b">
        <v>0</v>
      </c>
    </row>
    <row r="3213" spans="1:23" x14ac:dyDescent="0.3">
      <c r="A3213">
        <v>1948587</v>
      </c>
      <c r="B3213">
        <v>65.52</v>
      </c>
      <c r="C3213" t="s">
        <v>7541</v>
      </c>
      <c r="D3213" t="s">
        <v>7542</v>
      </c>
      <c r="E3213" t="s">
        <v>49</v>
      </c>
      <c r="F3213" t="s">
        <v>44</v>
      </c>
      <c r="G3213">
        <v>2006</v>
      </c>
      <c r="H3213" t="s">
        <v>50</v>
      </c>
      <c r="I3213" t="s">
        <v>7151</v>
      </c>
      <c r="J3213" t="s">
        <v>7441</v>
      </c>
      <c r="K3213" t="s">
        <v>25</v>
      </c>
      <c r="L3213" t="s">
        <v>30</v>
      </c>
      <c r="M3213" t="b">
        <v>1</v>
      </c>
      <c r="N3213" t="s">
        <v>7543</v>
      </c>
      <c r="O3213" t="str">
        <f>"259/.23"</f>
        <v>259/.23</v>
      </c>
      <c r="Q3213" t="b">
        <v>0</v>
      </c>
      <c r="S3213" t="str">
        <f>"9780310267072"</f>
        <v>9780310267072</v>
      </c>
      <c r="T3213" t="str">
        <f>"9780310830023"</f>
        <v>9780310830023</v>
      </c>
      <c r="U3213" t="b">
        <v>0</v>
      </c>
      <c r="W3213" t="b">
        <v>0</v>
      </c>
    </row>
    <row r="3214" spans="1:23" x14ac:dyDescent="0.3">
      <c r="A3214">
        <v>1948586</v>
      </c>
      <c r="B3214">
        <v>65.52</v>
      </c>
      <c r="C3214" t="s">
        <v>7544</v>
      </c>
      <c r="D3214" t="s">
        <v>7545</v>
      </c>
      <c r="E3214" t="s">
        <v>49</v>
      </c>
      <c r="F3214" t="s">
        <v>44</v>
      </c>
      <c r="G3214">
        <v>2009</v>
      </c>
      <c r="H3214" t="s">
        <v>50</v>
      </c>
      <c r="K3214" t="s">
        <v>25</v>
      </c>
      <c r="L3214" t="s">
        <v>26</v>
      </c>
      <c r="M3214" t="b">
        <v>1</v>
      </c>
      <c r="N3214" t="s">
        <v>7543</v>
      </c>
      <c r="Q3214" t="b">
        <v>0</v>
      </c>
      <c r="S3214" t="str">
        <f>"9780310273776"</f>
        <v>9780310273776</v>
      </c>
      <c r="T3214" t="str">
        <f>"9780310829966"</f>
        <v>9780310829966</v>
      </c>
      <c r="U3214" t="b">
        <v>0</v>
      </c>
      <c r="W3214" t="b">
        <v>0</v>
      </c>
    </row>
    <row r="3215" spans="1:23" x14ac:dyDescent="0.3">
      <c r="A3215">
        <v>1948585</v>
      </c>
      <c r="B3215">
        <v>44.82</v>
      </c>
      <c r="C3215" t="s">
        <v>7546</v>
      </c>
      <c r="D3215" t="s">
        <v>7547</v>
      </c>
      <c r="E3215" t="s">
        <v>49</v>
      </c>
      <c r="F3215" t="s">
        <v>44</v>
      </c>
      <c r="G3215">
        <v>2009</v>
      </c>
      <c r="H3215" t="s">
        <v>50</v>
      </c>
      <c r="K3215" t="s">
        <v>25</v>
      </c>
      <c r="L3215" t="s">
        <v>30</v>
      </c>
      <c r="M3215" t="b">
        <v>1</v>
      </c>
      <c r="N3215" t="s">
        <v>7548</v>
      </c>
      <c r="Q3215" t="b">
        <v>0</v>
      </c>
      <c r="S3215" t="str">
        <f>"9780310285106"</f>
        <v>9780310285106</v>
      </c>
      <c r="T3215" t="str">
        <f>"9780310867210"</f>
        <v>9780310867210</v>
      </c>
      <c r="U3215" t="b">
        <v>0</v>
      </c>
      <c r="W3215" t="b">
        <v>0</v>
      </c>
    </row>
    <row r="3216" spans="1:23" x14ac:dyDescent="0.3">
      <c r="A3216">
        <v>1948584</v>
      </c>
      <c r="B3216">
        <v>68.97</v>
      </c>
      <c r="C3216" t="s">
        <v>7549</v>
      </c>
      <c r="E3216" t="s">
        <v>49</v>
      </c>
      <c r="F3216" t="s">
        <v>44</v>
      </c>
      <c r="G3216">
        <v>2010</v>
      </c>
      <c r="H3216" t="s">
        <v>50</v>
      </c>
      <c r="I3216" t="s">
        <v>7550</v>
      </c>
      <c r="J3216" t="s">
        <v>7551</v>
      </c>
      <c r="K3216" t="s">
        <v>25</v>
      </c>
      <c r="L3216" t="s">
        <v>30</v>
      </c>
      <c r="M3216" t="b">
        <v>1</v>
      </c>
      <c r="N3216" t="s">
        <v>7356</v>
      </c>
      <c r="O3216" t="str">
        <f>"259/.23"</f>
        <v>259/.23</v>
      </c>
      <c r="P3216" t="s">
        <v>7484</v>
      </c>
      <c r="Q3216" t="b">
        <v>0</v>
      </c>
      <c r="S3216" t="str">
        <f>"9780310220374"</f>
        <v>9780310220374</v>
      </c>
      <c r="T3216" t="str">
        <f>"9780310871873"</f>
        <v>9780310871873</v>
      </c>
      <c r="U3216" t="b">
        <v>0</v>
      </c>
      <c r="W3216" t="b">
        <v>0</v>
      </c>
    </row>
    <row r="3217" spans="1:23" x14ac:dyDescent="0.3">
      <c r="A3217">
        <v>1948583</v>
      </c>
      <c r="B3217">
        <v>58.62</v>
      </c>
      <c r="C3217" t="s">
        <v>7552</v>
      </c>
      <c r="D3217" t="s">
        <v>7553</v>
      </c>
      <c r="E3217" t="s">
        <v>49</v>
      </c>
      <c r="F3217" t="s">
        <v>44</v>
      </c>
      <c r="G3217">
        <v>2011</v>
      </c>
      <c r="H3217" t="s">
        <v>50</v>
      </c>
      <c r="K3217" t="s">
        <v>25</v>
      </c>
      <c r="L3217" t="s">
        <v>30</v>
      </c>
      <c r="M3217" t="b">
        <v>1</v>
      </c>
      <c r="N3217" t="s">
        <v>7554</v>
      </c>
      <c r="Q3217" t="b">
        <v>0</v>
      </c>
      <c r="S3217" t="str">
        <f>"9780310669357"</f>
        <v>9780310669357</v>
      </c>
      <c r="T3217" t="str">
        <f>"9780310296607"</f>
        <v>9780310296607</v>
      </c>
      <c r="U3217" t="b">
        <v>0</v>
      </c>
      <c r="W3217" t="b">
        <v>0</v>
      </c>
    </row>
    <row r="3218" spans="1:23" x14ac:dyDescent="0.3">
      <c r="A3218">
        <v>1948582</v>
      </c>
      <c r="B3218">
        <v>51.72</v>
      </c>
      <c r="C3218" t="s">
        <v>7555</v>
      </c>
      <c r="D3218" t="s">
        <v>7556</v>
      </c>
      <c r="E3218" t="s">
        <v>23</v>
      </c>
      <c r="F3218" t="s">
        <v>44</v>
      </c>
      <c r="G3218">
        <v>2010</v>
      </c>
      <c r="H3218" t="s">
        <v>50</v>
      </c>
      <c r="I3218" t="s">
        <v>7557</v>
      </c>
      <c r="J3218" t="s">
        <v>895</v>
      </c>
      <c r="K3218" t="s">
        <v>25</v>
      </c>
      <c r="L3218" t="s">
        <v>26</v>
      </c>
      <c r="M3218" t="b">
        <v>1</v>
      </c>
      <c r="N3218" t="s">
        <v>7156</v>
      </c>
      <c r="O3218" t="str">
        <f>"259/.23"</f>
        <v>259/.23</v>
      </c>
      <c r="Q3218" t="b">
        <v>0</v>
      </c>
      <c r="S3218" t="str">
        <f>"9780310287773"</f>
        <v>9780310287773</v>
      </c>
      <c r="T3218" t="str">
        <f>"9780310599876"</f>
        <v>9780310599876</v>
      </c>
      <c r="U3218" t="b">
        <v>0</v>
      </c>
      <c r="W3218" t="b">
        <v>0</v>
      </c>
    </row>
    <row r="3219" spans="1:23" x14ac:dyDescent="0.3">
      <c r="A3219">
        <v>1948581</v>
      </c>
      <c r="B3219">
        <v>51.72</v>
      </c>
      <c r="C3219" t="s">
        <v>7558</v>
      </c>
      <c r="D3219" t="s">
        <v>7559</v>
      </c>
      <c r="E3219" t="s">
        <v>23</v>
      </c>
      <c r="F3219" t="s">
        <v>44</v>
      </c>
      <c r="G3219">
        <v>2010</v>
      </c>
      <c r="H3219" t="s">
        <v>50</v>
      </c>
      <c r="I3219" t="s">
        <v>7560</v>
      </c>
      <c r="J3219" t="s">
        <v>7561</v>
      </c>
      <c r="K3219" t="s">
        <v>25</v>
      </c>
      <c r="L3219" t="s">
        <v>30</v>
      </c>
      <c r="M3219" t="b">
        <v>1</v>
      </c>
      <c r="N3219" t="s">
        <v>7194</v>
      </c>
      <c r="O3219" t="str">
        <f>"259/.24"</f>
        <v>259/.24</v>
      </c>
      <c r="Q3219" t="b">
        <v>0</v>
      </c>
      <c r="S3219" t="str">
        <f>"9780310671053"</f>
        <v>9780310671053</v>
      </c>
      <c r="T3219" t="str">
        <f>"9780310577423"</f>
        <v>9780310577423</v>
      </c>
      <c r="U3219" t="b">
        <v>0</v>
      </c>
      <c r="W3219" t="b">
        <v>0</v>
      </c>
    </row>
    <row r="3220" spans="1:23" x14ac:dyDescent="0.3">
      <c r="A3220">
        <v>1948580</v>
      </c>
      <c r="B3220">
        <v>34.47</v>
      </c>
      <c r="C3220" t="s">
        <v>7562</v>
      </c>
      <c r="D3220" t="s">
        <v>7563</v>
      </c>
      <c r="E3220" t="s">
        <v>49</v>
      </c>
      <c r="F3220" t="s">
        <v>44</v>
      </c>
      <c r="G3220">
        <v>2010</v>
      </c>
      <c r="H3220" t="s">
        <v>50</v>
      </c>
      <c r="K3220" t="s">
        <v>25</v>
      </c>
      <c r="L3220" t="s">
        <v>30</v>
      </c>
      <c r="M3220" t="b">
        <v>1</v>
      </c>
      <c r="N3220" t="s">
        <v>7564</v>
      </c>
      <c r="Q3220" t="b">
        <v>0</v>
      </c>
      <c r="S3220" t="str">
        <f>"9780310277521"</f>
        <v>9780310277521</v>
      </c>
      <c r="T3220" t="str">
        <f>"9780310398974"</f>
        <v>9780310398974</v>
      </c>
      <c r="U3220" t="b">
        <v>0</v>
      </c>
      <c r="W3220" t="b">
        <v>0</v>
      </c>
    </row>
    <row r="3221" spans="1:23" x14ac:dyDescent="0.3">
      <c r="A3221">
        <v>1948579</v>
      </c>
      <c r="B3221">
        <v>37.92</v>
      </c>
      <c r="C3221" t="s">
        <v>7565</v>
      </c>
      <c r="D3221" t="s">
        <v>7566</v>
      </c>
      <c r="E3221" t="s">
        <v>49</v>
      </c>
      <c r="F3221" t="s">
        <v>44</v>
      </c>
      <c r="G3221">
        <v>2010</v>
      </c>
      <c r="H3221" t="s">
        <v>50</v>
      </c>
      <c r="K3221" t="s">
        <v>25</v>
      </c>
      <c r="L3221" t="s">
        <v>30</v>
      </c>
      <c r="M3221" t="b">
        <v>1</v>
      </c>
      <c r="N3221" t="s">
        <v>7342</v>
      </c>
      <c r="P3221" t="s">
        <v>7191</v>
      </c>
      <c r="Q3221" t="b">
        <v>0</v>
      </c>
      <c r="S3221" t="str">
        <f>"9780310267461"</f>
        <v>9780310267461</v>
      </c>
      <c r="T3221" t="str">
        <f>"9780310851301"</f>
        <v>9780310851301</v>
      </c>
      <c r="U3221" t="b">
        <v>0</v>
      </c>
      <c r="W3221" t="b">
        <v>0</v>
      </c>
    </row>
    <row r="3222" spans="1:23" x14ac:dyDescent="0.3">
      <c r="A3222">
        <v>1948578</v>
      </c>
      <c r="B3222">
        <v>27.57</v>
      </c>
      <c r="C3222" t="s">
        <v>7567</v>
      </c>
      <c r="D3222" t="s">
        <v>7568</v>
      </c>
      <c r="E3222" t="s">
        <v>49</v>
      </c>
      <c r="F3222" t="s">
        <v>44</v>
      </c>
      <c r="G3222">
        <v>2010</v>
      </c>
      <c r="H3222" t="s">
        <v>50</v>
      </c>
      <c r="K3222" t="s">
        <v>25</v>
      </c>
      <c r="L3222" t="s">
        <v>30</v>
      </c>
      <c r="M3222" t="b">
        <v>1</v>
      </c>
      <c r="N3222" t="s">
        <v>5773</v>
      </c>
      <c r="P3222" t="s">
        <v>7371</v>
      </c>
      <c r="Q3222" t="b">
        <v>0</v>
      </c>
      <c r="S3222" t="str">
        <f>"9780310274933"</f>
        <v>9780310274933</v>
      </c>
      <c r="T3222" t="str">
        <f>"9780310871729"</f>
        <v>9780310871729</v>
      </c>
      <c r="U3222" t="b">
        <v>0</v>
      </c>
      <c r="W3222" t="b">
        <v>0</v>
      </c>
    </row>
    <row r="3223" spans="1:23" x14ac:dyDescent="0.3">
      <c r="A3223">
        <v>1948577</v>
      </c>
      <c r="B3223">
        <v>68.97</v>
      </c>
      <c r="C3223" t="s">
        <v>7569</v>
      </c>
      <c r="E3223" t="s">
        <v>49</v>
      </c>
      <c r="F3223" t="s">
        <v>44</v>
      </c>
      <c r="G3223">
        <v>2011</v>
      </c>
      <c r="H3223" t="s">
        <v>50</v>
      </c>
      <c r="I3223" t="s">
        <v>7151</v>
      </c>
      <c r="J3223" t="s">
        <v>7570</v>
      </c>
      <c r="K3223" t="s">
        <v>25</v>
      </c>
      <c r="L3223" t="s">
        <v>30</v>
      </c>
      <c r="M3223" t="b">
        <v>1</v>
      </c>
      <c r="N3223" t="s">
        <v>7356</v>
      </c>
      <c r="O3223" t="str">
        <f>"259.23"</f>
        <v>259.23</v>
      </c>
      <c r="P3223" t="s">
        <v>7484</v>
      </c>
      <c r="Q3223" t="b">
        <v>0</v>
      </c>
      <c r="S3223" t="str">
        <f>"9780310220329"</f>
        <v>9780310220329</v>
      </c>
      <c r="T3223" t="str">
        <f>"9780310850946"</f>
        <v>9780310850946</v>
      </c>
      <c r="U3223" t="b">
        <v>0</v>
      </c>
      <c r="W3223" t="b">
        <v>0</v>
      </c>
    </row>
    <row r="3224" spans="1:23" x14ac:dyDescent="0.3">
      <c r="A3224">
        <v>1948576</v>
      </c>
      <c r="B3224">
        <v>49.71</v>
      </c>
      <c r="C3224" t="s">
        <v>7571</v>
      </c>
      <c r="D3224" t="s">
        <v>7572</v>
      </c>
      <c r="E3224" t="s">
        <v>23</v>
      </c>
      <c r="F3224" t="s">
        <v>44</v>
      </c>
      <c r="G3224">
        <v>2009</v>
      </c>
      <c r="H3224" t="s">
        <v>50</v>
      </c>
      <c r="I3224" t="s">
        <v>7573</v>
      </c>
      <c r="J3224" t="s">
        <v>7574</v>
      </c>
      <c r="K3224" t="s">
        <v>25</v>
      </c>
      <c r="L3224" t="s">
        <v>30</v>
      </c>
      <c r="M3224" t="b">
        <v>1</v>
      </c>
      <c r="N3224" t="s">
        <v>4998</v>
      </c>
      <c r="O3224" t="str">
        <f>"259/.23"</f>
        <v>259/.23</v>
      </c>
      <c r="Q3224" t="b">
        <v>0</v>
      </c>
      <c r="S3224" t="str">
        <f>"9780310282617"</f>
        <v>9780310282617</v>
      </c>
      <c r="T3224" t="str">
        <f>"9780310828761"</f>
        <v>9780310828761</v>
      </c>
      <c r="U3224" t="b">
        <v>0</v>
      </c>
      <c r="W3224" t="b">
        <v>0</v>
      </c>
    </row>
    <row r="3225" spans="1:23" x14ac:dyDescent="0.3">
      <c r="A3225">
        <v>1948575</v>
      </c>
      <c r="B3225">
        <v>46.16</v>
      </c>
      <c r="C3225" t="s">
        <v>7575</v>
      </c>
      <c r="E3225" t="s">
        <v>23</v>
      </c>
      <c r="F3225" t="s">
        <v>44</v>
      </c>
      <c r="G3225">
        <v>2010</v>
      </c>
      <c r="H3225" t="s">
        <v>50</v>
      </c>
      <c r="I3225" t="s">
        <v>7576</v>
      </c>
      <c r="J3225" t="s">
        <v>895</v>
      </c>
      <c r="K3225" t="s">
        <v>25</v>
      </c>
      <c r="L3225" t="s">
        <v>30</v>
      </c>
      <c r="M3225" t="b">
        <v>1</v>
      </c>
      <c r="N3225" t="s">
        <v>7577</v>
      </c>
      <c r="O3225" t="str">
        <f>"790.1/5"</f>
        <v>790.1/5</v>
      </c>
      <c r="Q3225" t="b">
        <v>0</v>
      </c>
      <c r="T3225" t="str">
        <f>"9780310871439"</f>
        <v>9780310871439</v>
      </c>
      <c r="U3225" t="b">
        <v>0</v>
      </c>
      <c r="W3225" t="b">
        <v>0</v>
      </c>
    </row>
    <row r="3226" spans="1:23" x14ac:dyDescent="0.3">
      <c r="A3226">
        <v>1948574</v>
      </c>
      <c r="B3226">
        <v>44.82</v>
      </c>
      <c r="C3226" t="s">
        <v>7578</v>
      </c>
      <c r="D3226" t="s">
        <v>7579</v>
      </c>
      <c r="E3226" t="s">
        <v>23</v>
      </c>
      <c r="F3226" t="s">
        <v>44</v>
      </c>
      <c r="G3226">
        <v>2011</v>
      </c>
      <c r="H3226" t="s">
        <v>50</v>
      </c>
      <c r="I3226" t="s">
        <v>7580</v>
      </c>
      <c r="J3226" t="s">
        <v>7441</v>
      </c>
      <c r="K3226" t="s">
        <v>25</v>
      </c>
      <c r="L3226" t="s">
        <v>30</v>
      </c>
      <c r="M3226" t="b">
        <v>1</v>
      </c>
      <c r="N3226" t="s">
        <v>7159</v>
      </c>
      <c r="O3226" t="str">
        <f>"226.5/077"</f>
        <v>226.5/077</v>
      </c>
      <c r="P3226" t="s">
        <v>7581</v>
      </c>
      <c r="Q3226" t="b">
        <v>0</v>
      </c>
      <c r="S3226" t="str">
        <f>"9780310670322"</f>
        <v>9780310670322</v>
      </c>
      <c r="T3226" t="str">
        <f>"9780310890751"</f>
        <v>9780310890751</v>
      </c>
      <c r="U3226" t="b">
        <v>0</v>
      </c>
      <c r="W3226" t="b">
        <v>0</v>
      </c>
    </row>
    <row r="3227" spans="1:23" x14ac:dyDescent="0.3">
      <c r="A3227">
        <v>1948573</v>
      </c>
      <c r="B3227">
        <v>35.5</v>
      </c>
      <c r="C3227" t="s">
        <v>7582</v>
      </c>
      <c r="D3227" t="s">
        <v>7583</v>
      </c>
      <c r="E3227" t="s">
        <v>23</v>
      </c>
      <c r="F3227" t="s">
        <v>44</v>
      </c>
      <c r="G3227">
        <v>2009</v>
      </c>
      <c r="H3227" t="s">
        <v>50</v>
      </c>
      <c r="K3227" t="s">
        <v>25</v>
      </c>
      <c r="L3227" t="s">
        <v>30</v>
      </c>
      <c r="M3227" t="b">
        <v>1</v>
      </c>
      <c r="N3227" t="s">
        <v>7584</v>
      </c>
      <c r="Q3227" t="b">
        <v>0</v>
      </c>
      <c r="T3227" t="str">
        <f>"9780310867531"</f>
        <v>9780310867531</v>
      </c>
      <c r="U3227" t="b">
        <v>0</v>
      </c>
      <c r="W3227" t="b">
        <v>0</v>
      </c>
    </row>
    <row r="3228" spans="1:23" x14ac:dyDescent="0.3">
      <c r="A3228">
        <v>1948572</v>
      </c>
      <c r="B3228">
        <v>44.82</v>
      </c>
      <c r="C3228" t="s">
        <v>7585</v>
      </c>
      <c r="E3228" t="s">
        <v>23</v>
      </c>
      <c r="F3228" t="s">
        <v>44</v>
      </c>
      <c r="G3228">
        <v>2007</v>
      </c>
      <c r="H3228" t="s">
        <v>56</v>
      </c>
      <c r="I3228" t="s">
        <v>7586</v>
      </c>
      <c r="J3228" t="s">
        <v>7587</v>
      </c>
      <c r="K3228" t="s">
        <v>25</v>
      </c>
      <c r="L3228" t="s">
        <v>30</v>
      </c>
      <c r="M3228" t="b">
        <v>1</v>
      </c>
      <c r="N3228" t="s">
        <v>6389</v>
      </c>
      <c r="O3228" t="str">
        <f>"248.8/45"</f>
        <v>248.8/45</v>
      </c>
      <c r="Q3228" t="b">
        <v>0</v>
      </c>
      <c r="S3228" t="str">
        <f>"9780310277248"</f>
        <v>9780310277248</v>
      </c>
      <c r="T3228" t="str">
        <f>"9780310853107"</f>
        <v>9780310853107</v>
      </c>
      <c r="U3228" t="b">
        <v>0</v>
      </c>
      <c r="W3228" t="b">
        <v>0</v>
      </c>
    </row>
    <row r="3229" spans="1:23" x14ac:dyDescent="0.3">
      <c r="A3229">
        <v>1948571</v>
      </c>
      <c r="B3229">
        <v>55.17</v>
      </c>
      <c r="C3229" t="s">
        <v>7588</v>
      </c>
      <c r="E3229" t="s">
        <v>23</v>
      </c>
      <c r="F3229" t="s">
        <v>44</v>
      </c>
      <c r="G3229">
        <v>2009</v>
      </c>
      <c r="H3229" t="s">
        <v>50</v>
      </c>
      <c r="K3229" t="s">
        <v>25</v>
      </c>
      <c r="L3229" t="s">
        <v>30</v>
      </c>
      <c r="M3229" t="b">
        <v>1</v>
      </c>
      <c r="N3229" t="s">
        <v>7564</v>
      </c>
      <c r="Q3229" t="b">
        <v>0</v>
      </c>
      <c r="S3229" t="str">
        <f>"9780310269892"</f>
        <v>9780310269892</v>
      </c>
      <c r="T3229" t="str">
        <f>"9780310832546"</f>
        <v>9780310832546</v>
      </c>
      <c r="U3229" t="b">
        <v>0</v>
      </c>
      <c r="W3229" t="b">
        <v>0</v>
      </c>
    </row>
    <row r="3230" spans="1:23" x14ac:dyDescent="0.3">
      <c r="A3230">
        <v>1948570</v>
      </c>
      <c r="B3230">
        <v>79.319999999999993</v>
      </c>
      <c r="C3230" t="s">
        <v>7589</v>
      </c>
      <c r="E3230" t="s">
        <v>49</v>
      </c>
      <c r="F3230" t="s">
        <v>106</v>
      </c>
      <c r="G3230">
        <v>2018</v>
      </c>
      <c r="H3230" t="s">
        <v>6334</v>
      </c>
      <c r="I3230" t="s">
        <v>7590</v>
      </c>
      <c r="J3230" t="s">
        <v>7591</v>
      </c>
      <c r="K3230" t="s">
        <v>25</v>
      </c>
      <c r="L3230" t="s">
        <v>26</v>
      </c>
      <c r="M3230" t="b">
        <v>1</v>
      </c>
      <c r="N3230" t="s">
        <v>7592</v>
      </c>
      <c r="O3230" t="str">
        <f>"227.0202"</f>
        <v>227.0202</v>
      </c>
      <c r="P3230" t="s">
        <v>7593</v>
      </c>
      <c r="Q3230" t="b">
        <v>0</v>
      </c>
      <c r="S3230" t="str">
        <f>"9780310258131"</f>
        <v>9780310258131</v>
      </c>
      <c r="T3230" t="str">
        <f>"9780310528791"</f>
        <v>9780310528791</v>
      </c>
      <c r="U3230" t="b">
        <v>0</v>
      </c>
      <c r="W3230" t="b">
        <v>0</v>
      </c>
    </row>
    <row r="3231" spans="1:23" x14ac:dyDescent="0.3">
      <c r="A3231">
        <v>1948569</v>
      </c>
      <c r="B3231">
        <v>79.319999999999993</v>
      </c>
      <c r="C3231" t="s">
        <v>7594</v>
      </c>
      <c r="D3231" t="s">
        <v>7595</v>
      </c>
      <c r="E3231" t="s">
        <v>49</v>
      </c>
      <c r="F3231" t="s">
        <v>106</v>
      </c>
      <c r="G3231">
        <v>2018</v>
      </c>
      <c r="H3231" t="s">
        <v>739</v>
      </c>
      <c r="I3231" t="s">
        <v>7596</v>
      </c>
      <c r="J3231" t="s">
        <v>7597</v>
      </c>
      <c r="K3231" t="s">
        <v>25</v>
      </c>
      <c r="L3231" t="s">
        <v>26</v>
      </c>
      <c r="M3231" t="b">
        <v>1</v>
      </c>
      <c r="N3231" t="s">
        <v>7598</v>
      </c>
      <c r="O3231" t="str">
        <f>"236.9"</f>
        <v>236.9</v>
      </c>
      <c r="P3231" t="s">
        <v>925</v>
      </c>
      <c r="Q3231" t="b">
        <v>0</v>
      </c>
      <c r="S3231" t="str">
        <f>"9780310277200"</f>
        <v>9780310277200</v>
      </c>
      <c r="T3231" t="str">
        <f>"9780310528821"</f>
        <v>9780310528821</v>
      </c>
      <c r="U3231" t="b">
        <v>0</v>
      </c>
      <c r="W3231" t="b">
        <v>0</v>
      </c>
    </row>
    <row r="3232" spans="1:23" x14ac:dyDescent="0.3">
      <c r="A3232">
        <v>1948568</v>
      </c>
      <c r="B3232">
        <v>172.47</v>
      </c>
      <c r="C3232" t="s">
        <v>7599</v>
      </c>
      <c r="D3232" t="s">
        <v>7600</v>
      </c>
      <c r="E3232" t="s">
        <v>23</v>
      </c>
      <c r="F3232" t="s">
        <v>106</v>
      </c>
      <c r="G3232">
        <v>2018</v>
      </c>
      <c r="H3232" t="s">
        <v>6334</v>
      </c>
      <c r="K3232" t="s">
        <v>25</v>
      </c>
      <c r="L3232" t="s">
        <v>26</v>
      </c>
      <c r="M3232" t="b">
        <v>1</v>
      </c>
      <c r="N3232" t="s">
        <v>7601</v>
      </c>
      <c r="Q3232" t="b">
        <v>0</v>
      </c>
      <c r="S3232" t="str">
        <f>"9780310087014"</f>
        <v>9780310087014</v>
      </c>
      <c r="T3232" t="str">
        <f>"9780310087021"</f>
        <v>9780310087021</v>
      </c>
      <c r="U3232" t="b">
        <v>0</v>
      </c>
      <c r="W3232" t="b">
        <v>0</v>
      </c>
    </row>
    <row r="3233" spans="1:23" x14ac:dyDescent="0.3">
      <c r="A3233">
        <v>1948567</v>
      </c>
      <c r="B3233">
        <v>58.62</v>
      </c>
      <c r="C3233" t="s">
        <v>6240</v>
      </c>
      <c r="D3233" t="s">
        <v>7602</v>
      </c>
      <c r="E3233" t="s">
        <v>23</v>
      </c>
      <c r="F3233" t="s">
        <v>44</v>
      </c>
      <c r="G3233">
        <v>2019</v>
      </c>
      <c r="H3233" t="s">
        <v>830</v>
      </c>
      <c r="I3233" t="s">
        <v>7603</v>
      </c>
      <c r="K3233" t="s">
        <v>25</v>
      </c>
      <c r="L3233" t="s">
        <v>26</v>
      </c>
      <c r="M3233" t="b">
        <v>1</v>
      </c>
      <c r="N3233" t="s">
        <v>7604</v>
      </c>
      <c r="O3233" t="str">
        <f>"228/.07"</f>
        <v>228/.07</v>
      </c>
      <c r="Q3233" t="b">
        <v>0</v>
      </c>
      <c r="S3233" t="str">
        <f>"9780310597131"</f>
        <v>9780310597131</v>
      </c>
      <c r="T3233" t="str">
        <f>"9780310597148"</f>
        <v>9780310597148</v>
      </c>
      <c r="U3233" t="b">
        <v>0</v>
      </c>
      <c r="V3233" t="s">
        <v>7605</v>
      </c>
      <c r="W3233" t="b">
        <v>0</v>
      </c>
    </row>
    <row r="3234" spans="1:23" x14ac:dyDescent="0.3">
      <c r="A3234">
        <v>1948566</v>
      </c>
      <c r="B3234">
        <v>37.92</v>
      </c>
      <c r="C3234" t="s">
        <v>7606</v>
      </c>
      <c r="D3234" t="s">
        <v>7607</v>
      </c>
      <c r="E3234" t="s">
        <v>23</v>
      </c>
      <c r="F3234" t="s">
        <v>44</v>
      </c>
      <c r="G3234">
        <v>2018</v>
      </c>
      <c r="H3234" t="s">
        <v>115</v>
      </c>
      <c r="I3234" t="s">
        <v>937</v>
      </c>
      <c r="J3234" t="s">
        <v>7608</v>
      </c>
      <c r="K3234" t="s">
        <v>25</v>
      </c>
      <c r="L3234" t="s">
        <v>26</v>
      </c>
      <c r="M3234" t="b">
        <v>1</v>
      </c>
      <c r="N3234" t="s">
        <v>7609</v>
      </c>
      <c r="O3234" t="str">
        <f>"230"</f>
        <v>230</v>
      </c>
      <c r="Q3234" t="b">
        <v>0</v>
      </c>
      <c r="S3234" t="str">
        <f>"9780310576259"</f>
        <v>9780310576259</v>
      </c>
      <c r="T3234" t="str">
        <f>"9780310576266"</f>
        <v>9780310576266</v>
      </c>
      <c r="U3234" t="b">
        <v>0</v>
      </c>
      <c r="W3234" t="b">
        <v>0</v>
      </c>
    </row>
    <row r="3235" spans="1:23" x14ac:dyDescent="0.3">
      <c r="A3235">
        <v>1948565</v>
      </c>
      <c r="B3235">
        <v>148.32</v>
      </c>
      <c r="C3235" t="s">
        <v>7610</v>
      </c>
      <c r="D3235" t="s">
        <v>7611</v>
      </c>
      <c r="E3235" t="s">
        <v>49</v>
      </c>
      <c r="F3235" t="s">
        <v>106</v>
      </c>
      <c r="G3235">
        <v>2009</v>
      </c>
      <c r="H3235" t="s">
        <v>179</v>
      </c>
      <c r="I3235" t="s">
        <v>7612</v>
      </c>
      <c r="J3235" t="s">
        <v>7613</v>
      </c>
      <c r="K3235" t="s">
        <v>25</v>
      </c>
      <c r="L3235" t="s">
        <v>26</v>
      </c>
      <c r="M3235" t="b">
        <v>1</v>
      </c>
      <c r="N3235" t="s">
        <v>7614</v>
      </c>
      <c r="O3235" t="str">
        <f>"220.6/01"</f>
        <v>220.6/01</v>
      </c>
      <c r="Q3235" t="b">
        <v>0</v>
      </c>
      <c r="S3235" t="str">
        <f>"9780310279518"</f>
        <v>9780310279518</v>
      </c>
      <c r="T3235" t="str">
        <f>"9780310539490"</f>
        <v>9780310539490</v>
      </c>
      <c r="U3235" t="b">
        <v>0</v>
      </c>
      <c r="W3235" t="b">
        <v>0</v>
      </c>
    </row>
    <row r="3236" spans="1:23" x14ac:dyDescent="0.3">
      <c r="A3236">
        <v>1948564</v>
      </c>
      <c r="B3236">
        <v>172.47</v>
      </c>
      <c r="C3236" t="s">
        <v>7615</v>
      </c>
      <c r="E3236" t="s">
        <v>49</v>
      </c>
      <c r="F3236" t="s">
        <v>106</v>
      </c>
      <c r="G3236">
        <v>2018</v>
      </c>
      <c r="H3236" t="s">
        <v>6799</v>
      </c>
      <c r="I3236" t="s">
        <v>7616</v>
      </c>
      <c r="K3236" t="s">
        <v>25</v>
      </c>
      <c r="L3236" t="s">
        <v>26</v>
      </c>
      <c r="M3236" t="b">
        <v>1</v>
      </c>
      <c r="N3236" t="s">
        <v>7617</v>
      </c>
      <c r="O3236" t="str">
        <f>"226.2"</f>
        <v>226.2</v>
      </c>
      <c r="P3236" t="s">
        <v>6546</v>
      </c>
      <c r="Q3236" t="b">
        <v>0</v>
      </c>
      <c r="S3236" t="str">
        <f>"9780310521983"</f>
        <v>9780310521983</v>
      </c>
      <c r="T3236" t="str">
        <f>"9780310588405"</f>
        <v>9780310588405</v>
      </c>
      <c r="U3236" t="b">
        <v>0</v>
      </c>
      <c r="W3236" t="b">
        <v>0</v>
      </c>
    </row>
    <row r="3237" spans="1:23" x14ac:dyDescent="0.3">
      <c r="A3237">
        <v>1948563</v>
      </c>
      <c r="B3237">
        <v>155.22</v>
      </c>
      <c r="C3237" t="s">
        <v>7618</v>
      </c>
      <c r="D3237" t="s">
        <v>3445</v>
      </c>
      <c r="E3237" t="s">
        <v>49</v>
      </c>
      <c r="F3237" t="s">
        <v>106</v>
      </c>
      <c r="G3237">
        <v>2000</v>
      </c>
      <c r="H3237" t="s">
        <v>1181</v>
      </c>
      <c r="I3237" t="s">
        <v>7619</v>
      </c>
      <c r="K3237" t="s">
        <v>25</v>
      </c>
      <c r="L3237" t="s">
        <v>26</v>
      </c>
      <c r="M3237" t="b">
        <v>1</v>
      </c>
      <c r="N3237" t="s">
        <v>7620</v>
      </c>
      <c r="O3237" t="str">
        <f>"220.7"</f>
        <v>220.7</v>
      </c>
      <c r="P3237" t="s">
        <v>6546</v>
      </c>
      <c r="Q3237" t="b">
        <v>0</v>
      </c>
      <c r="S3237" t="str">
        <f>"9780310521730"</f>
        <v>9780310521730</v>
      </c>
      <c r="T3237" t="str">
        <f>"9780310588429"</f>
        <v>9780310588429</v>
      </c>
      <c r="U3237" t="b">
        <v>0</v>
      </c>
      <c r="V3237" t="s">
        <v>870</v>
      </c>
      <c r="W3237" t="b">
        <v>0</v>
      </c>
    </row>
    <row r="3238" spans="1:23" x14ac:dyDescent="0.3">
      <c r="A3238">
        <v>1948562</v>
      </c>
      <c r="B3238">
        <v>241.47</v>
      </c>
      <c r="C3238" t="s">
        <v>7621</v>
      </c>
      <c r="E3238" t="s">
        <v>49</v>
      </c>
      <c r="F3238" t="s">
        <v>106</v>
      </c>
      <c r="G3238">
        <v>1994</v>
      </c>
      <c r="H3238" t="s">
        <v>6799</v>
      </c>
      <c r="I3238" t="s">
        <v>7622</v>
      </c>
      <c r="J3238" t="s">
        <v>895</v>
      </c>
      <c r="K3238" t="s">
        <v>25</v>
      </c>
      <c r="L3238" t="s">
        <v>26</v>
      </c>
      <c r="M3238" t="b">
        <v>1</v>
      </c>
      <c r="N3238" t="s">
        <v>6541</v>
      </c>
      <c r="O3238" t="str">
        <f>"220.7"</f>
        <v>220.7</v>
      </c>
      <c r="P3238" t="s">
        <v>6271</v>
      </c>
      <c r="Q3238" t="b">
        <v>0</v>
      </c>
      <c r="S3238" t="str">
        <f>"9780310254973"</f>
        <v>9780310254973</v>
      </c>
      <c r="T3238" t="str">
        <f>"9780310555490"</f>
        <v>9780310555490</v>
      </c>
      <c r="U3238" t="b">
        <v>0</v>
      </c>
      <c r="V3238" t="s">
        <v>7623</v>
      </c>
      <c r="W3238" t="b">
        <v>0</v>
      </c>
    </row>
    <row r="3239" spans="1:23" x14ac:dyDescent="0.3">
      <c r="A3239">
        <v>1948561</v>
      </c>
      <c r="B3239">
        <v>258.72000000000003</v>
      </c>
      <c r="C3239" t="s">
        <v>7624</v>
      </c>
      <c r="E3239" t="s">
        <v>49</v>
      </c>
      <c r="F3239" t="s">
        <v>106</v>
      </c>
      <c r="G3239">
        <v>1994</v>
      </c>
      <c r="H3239" t="s">
        <v>927</v>
      </c>
      <c r="I3239" t="s">
        <v>7625</v>
      </c>
      <c r="J3239" t="s">
        <v>895</v>
      </c>
      <c r="K3239" t="s">
        <v>25</v>
      </c>
      <c r="L3239" t="s">
        <v>26</v>
      </c>
      <c r="M3239" t="b">
        <v>1</v>
      </c>
      <c r="N3239" t="s">
        <v>7626</v>
      </c>
      <c r="O3239" t="str">
        <f>"221.7"</f>
        <v>221.7</v>
      </c>
      <c r="P3239" t="s">
        <v>6271</v>
      </c>
      <c r="Q3239" t="b">
        <v>0</v>
      </c>
      <c r="S3239" t="str">
        <f>"9780310254966"</f>
        <v>9780310254966</v>
      </c>
      <c r="T3239" t="str">
        <f>"9780310555506"</f>
        <v>9780310555506</v>
      </c>
      <c r="U3239" t="b">
        <v>0</v>
      </c>
      <c r="W3239" t="b">
        <v>0</v>
      </c>
    </row>
    <row r="3240" spans="1:23" x14ac:dyDescent="0.3">
      <c r="A3240">
        <v>1948560</v>
      </c>
      <c r="B3240">
        <v>58.62</v>
      </c>
      <c r="C3240" t="s">
        <v>7627</v>
      </c>
      <c r="D3240" t="s">
        <v>7628</v>
      </c>
      <c r="E3240" t="s">
        <v>49</v>
      </c>
      <c r="F3240" t="s">
        <v>44</v>
      </c>
      <c r="G3240">
        <v>2017</v>
      </c>
      <c r="H3240" t="s">
        <v>738</v>
      </c>
      <c r="I3240" t="s">
        <v>7629</v>
      </c>
      <c r="J3240" t="s">
        <v>895</v>
      </c>
      <c r="K3240" t="s">
        <v>25</v>
      </c>
      <c r="L3240" t="s">
        <v>26</v>
      </c>
      <c r="M3240" t="b">
        <v>1</v>
      </c>
      <c r="N3240" t="s">
        <v>44</v>
      </c>
      <c r="O3240" t="str">
        <f>"220.09"</f>
        <v>220.09</v>
      </c>
      <c r="P3240" t="s">
        <v>7630</v>
      </c>
      <c r="Q3240" t="b">
        <v>0</v>
      </c>
      <c r="S3240" t="str">
        <f>"9780310253068"</f>
        <v>9780310253068</v>
      </c>
      <c r="T3240" t="str">
        <f>"9780310537595"</f>
        <v>9780310537595</v>
      </c>
      <c r="U3240" t="b">
        <v>0</v>
      </c>
      <c r="W3240" t="b">
        <v>0</v>
      </c>
    </row>
    <row r="3241" spans="1:23" x14ac:dyDescent="0.3">
      <c r="A3241">
        <v>1948559</v>
      </c>
      <c r="B3241">
        <v>58.62</v>
      </c>
      <c r="C3241" t="s">
        <v>7631</v>
      </c>
      <c r="D3241" t="s">
        <v>7632</v>
      </c>
      <c r="E3241" t="s">
        <v>49</v>
      </c>
      <c r="F3241" t="s">
        <v>44</v>
      </c>
      <c r="G3241">
        <v>2017</v>
      </c>
      <c r="H3241" t="s">
        <v>107</v>
      </c>
      <c r="I3241" t="s">
        <v>1086</v>
      </c>
      <c r="J3241" t="s">
        <v>7633</v>
      </c>
      <c r="K3241" t="s">
        <v>25</v>
      </c>
      <c r="L3241" t="s">
        <v>26</v>
      </c>
      <c r="M3241" t="b">
        <v>1</v>
      </c>
      <c r="N3241" t="s">
        <v>7634</v>
      </c>
      <c r="O3241" t="str">
        <f>"241.66"</f>
        <v>241.66</v>
      </c>
      <c r="Q3241" t="b">
        <v>0</v>
      </c>
      <c r="S3241" t="str">
        <f>"9780310535355"</f>
        <v>9780310535355</v>
      </c>
      <c r="T3241" t="str">
        <f>"9780310535362"</f>
        <v>9780310535362</v>
      </c>
      <c r="U3241" t="b">
        <v>0</v>
      </c>
      <c r="W3241" t="b">
        <v>0</v>
      </c>
    </row>
    <row r="3242" spans="1:23" x14ac:dyDescent="0.3">
      <c r="A3242">
        <v>1948558</v>
      </c>
      <c r="B3242">
        <v>120.72</v>
      </c>
      <c r="C3242" t="s">
        <v>7635</v>
      </c>
      <c r="E3242" t="s">
        <v>49</v>
      </c>
      <c r="F3242" t="s">
        <v>106</v>
      </c>
      <c r="G3242">
        <v>2017</v>
      </c>
      <c r="H3242" t="s">
        <v>115</v>
      </c>
      <c r="I3242" t="s">
        <v>7636</v>
      </c>
      <c r="J3242" t="s">
        <v>7637</v>
      </c>
      <c r="K3242" t="s">
        <v>25</v>
      </c>
      <c r="L3242" t="s">
        <v>26</v>
      </c>
      <c r="M3242" t="b">
        <v>1</v>
      </c>
      <c r="N3242" t="s">
        <v>7638</v>
      </c>
      <c r="O3242" t="str">
        <f>"231.2"</f>
        <v>231.2</v>
      </c>
      <c r="Q3242" t="b">
        <v>0</v>
      </c>
      <c r="S3242" t="str">
        <f>"9780310537878"</f>
        <v>9780310537878</v>
      </c>
      <c r="T3242" t="str">
        <f>"9780310537885"</f>
        <v>9780310537885</v>
      </c>
      <c r="U3242" t="b">
        <v>0</v>
      </c>
      <c r="W3242" t="b">
        <v>0</v>
      </c>
    </row>
    <row r="3243" spans="1:23" x14ac:dyDescent="0.3">
      <c r="A3243">
        <v>1948557</v>
      </c>
      <c r="B3243">
        <v>103.47</v>
      </c>
      <c r="C3243" t="s">
        <v>7639</v>
      </c>
      <c r="D3243" t="s">
        <v>7640</v>
      </c>
      <c r="E3243" t="s">
        <v>49</v>
      </c>
      <c r="F3243" t="s">
        <v>106</v>
      </c>
      <c r="G3243">
        <v>2017</v>
      </c>
      <c r="H3243" t="s">
        <v>115</v>
      </c>
      <c r="I3243" t="s">
        <v>7641</v>
      </c>
      <c r="J3243" t="s">
        <v>7642</v>
      </c>
      <c r="K3243" t="s">
        <v>25</v>
      </c>
      <c r="L3243" t="s">
        <v>26</v>
      </c>
      <c r="M3243" t="b">
        <v>1</v>
      </c>
      <c r="N3243" t="s">
        <v>6354</v>
      </c>
      <c r="O3243" t="str">
        <f>"230.01"</f>
        <v>230.01</v>
      </c>
      <c r="P3243" t="s">
        <v>6355</v>
      </c>
      <c r="Q3243" t="b">
        <v>0</v>
      </c>
      <c r="S3243" t="str">
        <f>"9780310535492"</f>
        <v>9780310535492</v>
      </c>
      <c r="T3243" t="str">
        <f>"9780310535515"</f>
        <v>9780310535515</v>
      </c>
      <c r="U3243" t="b">
        <v>0</v>
      </c>
      <c r="W3243" t="b">
        <v>0</v>
      </c>
    </row>
    <row r="3244" spans="1:23" x14ac:dyDescent="0.3">
      <c r="A3244">
        <v>1948556</v>
      </c>
      <c r="B3244">
        <v>68.97</v>
      </c>
      <c r="C3244" t="s">
        <v>7643</v>
      </c>
      <c r="E3244" t="s">
        <v>49</v>
      </c>
      <c r="F3244" t="s">
        <v>106</v>
      </c>
      <c r="G3244">
        <v>2017</v>
      </c>
      <c r="H3244" t="s">
        <v>954</v>
      </c>
      <c r="I3244" t="s">
        <v>7644</v>
      </c>
      <c r="J3244" t="s">
        <v>7645</v>
      </c>
      <c r="K3244" t="s">
        <v>25</v>
      </c>
      <c r="L3244" t="s">
        <v>26</v>
      </c>
      <c r="M3244" t="b">
        <v>1</v>
      </c>
      <c r="N3244" t="s">
        <v>44</v>
      </c>
      <c r="O3244" t="str">
        <f>"231.7/65"</f>
        <v>231.7/65</v>
      </c>
      <c r="P3244" t="s">
        <v>7646</v>
      </c>
      <c r="Q3244" t="b">
        <v>0</v>
      </c>
      <c r="S3244" t="str">
        <f>"9780310080978"</f>
        <v>9780310080978</v>
      </c>
      <c r="T3244" t="str">
        <f>"9780310080985"</f>
        <v>9780310080985</v>
      </c>
      <c r="U3244" t="b">
        <v>0</v>
      </c>
      <c r="W3244" t="b">
        <v>0</v>
      </c>
    </row>
    <row r="3245" spans="1:23" x14ac:dyDescent="0.3">
      <c r="A3245">
        <v>1948555</v>
      </c>
      <c r="B3245">
        <v>58.62</v>
      </c>
      <c r="C3245" t="s">
        <v>7647</v>
      </c>
      <c r="E3245" t="s">
        <v>49</v>
      </c>
      <c r="F3245" t="s">
        <v>106</v>
      </c>
      <c r="G3245">
        <v>2017</v>
      </c>
      <c r="H3245" t="s">
        <v>7648</v>
      </c>
      <c r="I3245" t="s">
        <v>6943</v>
      </c>
      <c r="J3245" t="s">
        <v>7649</v>
      </c>
      <c r="K3245" t="s">
        <v>25</v>
      </c>
      <c r="L3245" t="s">
        <v>26</v>
      </c>
      <c r="M3245" t="b">
        <v>1</v>
      </c>
      <c r="N3245" t="s">
        <v>44</v>
      </c>
      <c r="O3245" t="str">
        <f>"266"</f>
        <v>266</v>
      </c>
      <c r="P3245" t="s">
        <v>7646</v>
      </c>
      <c r="Q3245" t="b">
        <v>0</v>
      </c>
      <c r="S3245" t="str">
        <f>"9780310522737"</f>
        <v>9780310522737</v>
      </c>
      <c r="T3245" t="str">
        <f>"9780310522744"</f>
        <v>9780310522744</v>
      </c>
      <c r="U3245" t="b">
        <v>0</v>
      </c>
      <c r="W3245" t="b">
        <v>0</v>
      </c>
    </row>
    <row r="3246" spans="1:23" x14ac:dyDescent="0.3">
      <c r="A3246">
        <v>1948554</v>
      </c>
      <c r="B3246">
        <v>103.47</v>
      </c>
      <c r="C3246" t="s">
        <v>7650</v>
      </c>
      <c r="D3246" t="s">
        <v>7651</v>
      </c>
      <c r="E3246" t="s">
        <v>49</v>
      </c>
      <c r="F3246" t="s">
        <v>106</v>
      </c>
      <c r="G3246">
        <v>2017</v>
      </c>
      <c r="H3246" t="s">
        <v>1032</v>
      </c>
      <c r="I3246" t="s">
        <v>5620</v>
      </c>
      <c r="J3246" t="s">
        <v>7652</v>
      </c>
      <c r="K3246" t="s">
        <v>25</v>
      </c>
      <c r="L3246" t="s">
        <v>26</v>
      </c>
      <c r="M3246" t="b">
        <v>1</v>
      </c>
      <c r="N3246" t="s">
        <v>7653</v>
      </c>
      <c r="O3246" t="str">
        <f>"233"</f>
        <v>233</v>
      </c>
      <c r="Q3246" t="b">
        <v>0</v>
      </c>
      <c r="S3246" t="str">
        <f>"9780310516439"</f>
        <v>9780310516439</v>
      </c>
      <c r="T3246" t="str">
        <f>"9780310516446"</f>
        <v>9780310516446</v>
      </c>
      <c r="U3246" t="b">
        <v>0</v>
      </c>
      <c r="W3246" t="b">
        <v>0</v>
      </c>
    </row>
    <row r="3247" spans="1:23" x14ac:dyDescent="0.3">
      <c r="A3247">
        <v>1948553</v>
      </c>
      <c r="B3247">
        <v>28.39</v>
      </c>
      <c r="C3247" t="s">
        <v>7654</v>
      </c>
      <c r="E3247" t="s">
        <v>49</v>
      </c>
      <c r="F3247" t="s">
        <v>106</v>
      </c>
      <c r="G3247">
        <v>2017</v>
      </c>
      <c r="H3247" t="s">
        <v>99</v>
      </c>
      <c r="K3247" t="s">
        <v>25</v>
      </c>
      <c r="L3247" t="s">
        <v>26</v>
      </c>
      <c r="M3247" t="b">
        <v>1</v>
      </c>
      <c r="N3247" t="s">
        <v>7655</v>
      </c>
      <c r="P3247" t="s">
        <v>7656</v>
      </c>
      <c r="Q3247" t="b">
        <v>0</v>
      </c>
      <c r="T3247" t="str">
        <f>"9780310537380"</f>
        <v>9780310537380</v>
      </c>
      <c r="U3247" t="b">
        <v>0</v>
      </c>
      <c r="W3247" t="b">
        <v>0</v>
      </c>
    </row>
    <row r="3248" spans="1:23" x14ac:dyDescent="0.3">
      <c r="A3248">
        <v>1948552</v>
      </c>
      <c r="B3248">
        <v>35.5</v>
      </c>
      <c r="C3248" t="s">
        <v>7657</v>
      </c>
      <c r="D3248" t="s">
        <v>7658</v>
      </c>
      <c r="E3248" t="s">
        <v>49</v>
      </c>
      <c r="F3248" t="s">
        <v>106</v>
      </c>
      <c r="G3248">
        <v>2017</v>
      </c>
      <c r="H3248" t="s">
        <v>132</v>
      </c>
      <c r="K3248" t="s">
        <v>25</v>
      </c>
      <c r="L3248" t="s">
        <v>26</v>
      </c>
      <c r="M3248" t="b">
        <v>1</v>
      </c>
      <c r="N3248" t="s">
        <v>7655</v>
      </c>
      <c r="P3248" t="s">
        <v>7656</v>
      </c>
      <c r="Q3248" t="b">
        <v>0</v>
      </c>
      <c r="T3248" t="str">
        <f>"9780310537366"</f>
        <v>9780310537366</v>
      </c>
      <c r="U3248" t="b">
        <v>0</v>
      </c>
      <c r="W3248" t="b">
        <v>0</v>
      </c>
    </row>
    <row r="3249" spans="1:23" x14ac:dyDescent="0.3">
      <c r="A3249">
        <v>1948551</v>
      </c>
      <c r="B3249">
        <v>35.5</v>
      </c>
      <c r="C3249" t="s">
        <v>7659</v>
      </c>
      <c r="D3249" t="s">
        <v>7660</v>
      </c>
      <c r="E3249" t="s">
        <v>49</v>
      </c>
      <c r="F3249" t="s">
        <v>106</v>
      </c>
      <c r="G3249">
        <v>2017</v>
      </c>
      <c r="H3249" t="s">
        <v>132</v>
      </c>
      <c r="I3249" t="s">
        <v>1217</v>
      </c>
      <c r="J3249" t="s">
        <v>895</v>
      </c>
      <c r="K3249" t="s">
        <v>25</v>
      </c>
      <c r="L3249" t="s">
        <v>26</v>
      </c>
      <c r="M3249" t="b">
        <v>1</v>
      </c>
      <c r="N3249" t="s">
        <v>7655</v>
      </c>
      <c r="P3249" t="s">
        <v>7656</v>
      </c>
      <c r="Q3249" t="b">
        <v>0</v>
      </c>
      <c r="T3249" t="str">
        <f>"9780310537342"</f>
        <v>9780310537342</v>
      </c>
      <c r="U3249" t="b">
        <v>0</v>
      </c>
      <c r="W3249" t="b">
        <v>0</v>
      </c>
    </row>
    <row r="3250" spans="1:23" x14ac:dyDescent="0.3">
      <c r="A3250">
        <v>1948550</v>
      </c>
      <c r="B3250">
        <v>35.5</v>
      </c>
      <c r="C3250" t="s">
        <v>7661</v>
      </c>
      <c r="D3250" t="s">
        <v>7662</v>
      </c>
      <c r="E3250" t="s">
        <v>49</v>
      </c>
      <c r="F3250" t="s">
        <v>106</v>
      </c>
      <c r="G3250">
        <v>2017</v>
      </c>
      <c r="H3250" t="s">
        <v>99</v>
      </c>
      <c r="K3250" t="s">
        <v>25</v>
      </c>
      <c r="L3250" t="s">
        <v>26</v>
      </c>
      <c r="M3250" t="b">
        <v>1</v>
      </c>
      <c r="N3250" t="s">
        <v>7655</v>
      </c>
      <c r="P3250" t="s">
        <v>7656</v>
      </c>
      <c r="Q3250" t="b">
        <v>0</v>
      </c>
      <c r="T3250" t="str">
        <f>"9780310533245"</f>
        <v>9780310533245</v>
      </c>
      <c r="U3250" t="b">
        <v>0</v>
      </c>
      <c r="W3250" t="b">
        <v>0</v>
      </c>
    </row>
    <row r="3251" spans="1:23" x14ac:dyDescent="0.3">
      <c r="A3251">
        <v>1948549</v>
      </c>
      <c r="B3251">
        <v>35.5</v>
      </c>
      <c r="C3251" t="s">
        <v>7663</v>
      </c>
      <c r="D3251" t="s">
        <v>7664</v>
      </c>
      <c r="E3251" t="s">
        <v>49</v>
      </c>
      <c r="F3251" t="s">
        <v>106</v>
      </c>
      <c r="G3251">
        <v>2017</v>
      </c>
      <c r="H3251" t="s">
        <v>132</v>
      </c>
      <c r="K3251" t="s">
        <v>25</v>
      </c>
      <c r="L3251" t="s">
        <v>26</v>
      </c>
      <c r="M3251" t="b">
        <v>1</v>
      </c>
      <c r="N3251" t="s">
        <v>7655</v>
      </c>
      <c r="P3251" t="s">
        <v>7656</v>
      </c>
      <c r="Q3251" t="b">
        <v>0</v>
      </c>
      <c r="T3251" t="str">
        <f>"9780310533078"</f>
        <v>9780310533078</v>
      </c>
      <c r="U3251" t="b">
        <v>0</v>
      </c>
      <c r="W3251" t="b">
        <v>0</v>
      </c>
    </row>
    <row r="3252" spans="1:23" x14ac:dyDescent="0.3">
      <c r="A3252">
        <v>1948548</v>
      </c>
      <c r="B3252">
        <v>35.5</v>
      </c>
      <c r="C3252" t="s">
        <v>7665</v>
      </c>
      <c r="D3252" t="s">
        <v>7666</v>
      </c>
      <c r="E3252" t="s">
        <v>49</v>
      </c>
      <c r="F3252" t="s">
        <v>106</v>
      </c>
      <c r="G3252">
        <v>2017</v>
      </c>
      <c r="H3252" t="s">
        <v>99</v>
      </c>
      <c r="K3252" t="s">
        <v>25</v>
      </c>
      <c r="L3252" t="s">
        <v>26</v>
      </c>
      <c r="M3252" t="b">
        <v>1</v>
      </c>
      <c r="N3252" t="s">
        <v>7655</v>
      </c>
      <c r="P3252" t="s">
        <v>7656</v>
      </c>
      <c r="Q3252" t="b">
        <v>0</v>
      </c>
      <c r="T3252" t="str">
        <f>"9780310537427"</f>
        <v>9780310537427</v>
      </c>
      <c r="U3252" t="b">
        <v>0</v>
      </c>
      <c r="W3252" t="b">
        <v>0</v>
      </c>
    </row>
    <row r="3253" spans="1:23" x14ac:dyDescent="0.3">
      <c r="A3253">
        <v>1948547</v>
      </c>
      <c r="B3253">
        <v>35.5</v>
      </c>
      <c r="C3253" t="s">
        <v>7667</v>
      </c>
      <c r="D3253" t="s">
        <v>7668</v>
      </c>
      <c r="E3253" t="s">
        <v>49</v>
      </c>
      <c r="F3253" t="s">
        <v>44</v>
      </c>
      <c r="G3253">
        <v>1974</v>
      </c>
      <c r="H3253" t="s">
        <v>5369</v>
      </c>
      <c r="I3253" t="s">
        <v>7669</v>
      </c>
      <c r="J3253" t="s">
        <v>7670</v>
      </c>
      <c r="K3253" t="s">
        <v>25</v>
      </c>
      <c r="L3253" t="s">
        <v>26</v>
      </c>
      <c r="M3253" t="b">
        <v>1</v>
      </c>
      <c r="N3253" t="s">
        <v>7655</v>
      </c>
      <c r="O3253" t="str">
        <f>"262/.001"</f>
        <v>262/.001</v>
      </c>
      <c r="P3253" t="s">
        <v>7656</v>
      </c>
      <c r="Q3253" t="b">
        <v>0</v>
      </c>
      <c r="T3253" t="str">
        <f>"9780310533177"</f>
        <v>9780310533177</v>
      </c>
      <c r="U3253" t="b">
        <v>0</v>
      </c>
      <c r="W3253" t="b">
        <v>0</v>
      </c>
    </row>
    <row r="3254" spans="1:23" x14ac:dyDescent="0.3">
      <c r="A3254">
        <v>1948546</v>
      </c>
      <c r="B3254">
        <v>28.39</v>
      </c>
      <c r="C3254" t="s">
        <v>7671</v>
      </c>
      <c r="D3254" t="s">
        <v>7672</v>
      </c>
      <c r="E3254" t="s">
        <v>49</v>
      </c>
      <c r="F3254" t="s">
        <v>106</v>
      </c>
      <c r="G3254">
        <v>2017</v>
      </c>
      <c r="H3254" t="s">
        <v>132</v>
      </c>
      <c r="K3254" t="s">
        <v>25</v>
      </c>
      <c r="L3254" t="s">
        <v>26</v>
      </c>
      <c r="M3254" t="b">
        <v>1</v>
      </c>
      <c r="N3254" t="s">
        <v>7655</v>
      </c>
      <c r="P3254" t="s">
        <v>7656</v>
      </c>
      <c r="Q3254" t="b">
        <v>0</v>
      </c>
      <c r="T3254" t="str">
        <f>"9780310533146"</f>
        <v>9780310533146</v>
      </c>
      <c r="U3254" t="b">
        <v>0</v>
      </c>
      <c r="W3254" t="b">
        <v>0</v>
      </c>
    </row>
    <row r="3255" spans="1:23" x14ac:dyDescent="0.3">
      <c r="A3255">
        <v>1948545</v>
      </c>
      <c r="B3255">
        <v>28.39</v>
      </c>
      <c r="C3255" t="s">
        <v>7673</v>
      </c>
      <c r="E3255" t="s">
        <v>49</v>
      </c>
      <c r="F3255" t="s">
        <v>106</v>
      </c>
      <c r="G3255">
        <v>2017</v>
      </c>
      <c r="H3255" t="s">
        <v>58</v>
      </c>
      <c r="K3255" t="s">
        <v>25</v>
      </c>
      <c r="L3255" t="s">
        <v>26</v>
      </c>
      <c r="M3255" t="b">
        <v>1</v>
      </c>
      <c r="N3255" t="s">
        <v>7655</v>
      </c>
      <c r="P3255" t="s">
        <v>7656</v>
      </c>
      <c r="Q3255" t="b">
        <v>0</v>
      </c>
      <c r="T3255" t="str">
        <f>"9780310537403"</f>
        <v>9780310537403</v>
      </c>
      <c r="U3255" t="b">
        <v>0</v>
      </c>
      <c r="W3255" t="b">
        <v>0</v>
      </c>
    </row>
    <row r="3256" spans="1:23" x14ac:dyDescent="0.3">
      <c r="A3256">
        <v>1948544</v>
      </c>
      <c r="B3256">
        <v>68.97</v>
      </c>
      <c r="C3256" t="s">
        <v>7674</v>
      </c>
      <c r="D3256" t="s">
        <v>948</v>
      </c>
      <c r="E3256" t="s">
        <v>49</v>
      </c>
      <c r="F3256" t="s">
        <v>44</v>
      </c>
      <c r="G3256">
        <v>2017</v>
      </c>
      <c r="H3256" t="s">
        <v>70</v>
      </c>
      <c r="I3256" t="s">
        <v>6905</v>
      </c>
      <c r="J3256" t="s">
        <v>7675</v>
      </c>
      <c r="K3256" t="s">
        <v>25</v>
      </c>
      <c r="L3256" t="s">
        <v>26</v>
      </c>
      <c r="M3256" t="b">
        <v>1</v>
      </c>
      <c r="N3256" t="s">
        <v>949</v>
      </c>
      <c r="O3256" t="str">
        <f>"239"</f>
        <v>239</v>
      </c>
      <c r="Q3256" t="b">
        <v>0</v>
      </c>
      <c r="S3256" t="str">
        <f>"9780310535225"</f>
        <v>9780310535225</v>
      </c>
      <c r="T3256" t="str">
        <f>"9780310535232"</f>
        <v>9780310535232</v>
      </c>
      <c r="U3256" t="b">
        <v>0</v>
      </c>
      <c r="W3256" t="b">
        <v>0</v>
      </c>
    </row>
    <row r="3257" spans="1:23" x14ac:dyDescent="0.3">
      <c r="A3257">
        <v>1948543</v>
      </c>
      <c r="B3257">
        <v>62.07</v>
      </c>
      <c r="C3257" t="s">
        <v>7676</v>
      </c>
      <c r="D3257" t="s">
        <v>7677</v>
      </c>
      <c r="E3257" t="s">
        <v>49</v>
      </c>
      <c r="F3257" t="s">
        <v>44</v>
      </c>
      <c r="G3257">
        <v>2017</v>
      </c>
      <c r="H3257" t="s">
        <v>6334</v>
      </c>
      <c r="I3257" t="s">
        <v>7678</v>
      </c>
      <c r="J3257" t="s">
        <v>7679</v>
      </c>
      <c r="K3257" t="s">
        <v>25</v>
      </c>
      <c r="L3257" t="s">
        <v>26</v>
      </c>
      <c r="M3257" t="b">
        <v>1</v>
      </c>
      <c r="N3257" t="s">
        <v>7680</v>
      </c>
      <c r="O3257" t="str">
        <f>"284.1092"</f>
        <v>284.1092</v>
      </c>
      <c r="Q3257" t="b">
        <v>0</v>
      </c>
      <c r="S3257" t="str">
        <f>"9780310532156"</f>
        <v>9780310532156</v>
      </c>
      <c r="T3257" t="str">
        <f>"9780310532163"</f>
        <v>9780310532163</v>
      </c>
      <c r="U3257" t="b">
        <v>0</v>
      </c>
      <c r="W3257" t="b">
        <v>0</v>
      </c>
    </row>
    <row r="3258" spans="1:23" x14ac:dyDescent="0.3">
      <c r="A3258">
        <v>1948542</v>
      </c>
      <c r="B3258">
        <v>89.67</v>
      </c>
      <c r="C3258" t="s">
        <v>7681</v>
      </c>
      <c r="D3258" t="s">
        <v>3421</v>
      </c>
      <c r="E3258" t="s">
        <v>49</v>
      </c>
      <c r="F3258" t="s">
        <v>44</v>
      </c>
      <c r="G3258">
        <v>2017</v>
      </c>
      <c r="H3258" t="s">
        <v>804</v>
      </c>
      <c r="I3258" t="s">
        <v>7682</v>
      </c>
      <c r="J3258" t="s">
        <v>7683</v>
      </c>
      <c r="K3258" t="s">
        <v>25</v>
      </c>
      <c r="L3258" t="s">
        <v>26</v>
      </c>
      <c r="M3258" t="b">
        <v>1</v>
      </c>
      <c r="N3258" t="s">
        <v>1099</v>
      </c>
      <c r="O3258" t="str">
        <f>"158.4"</f>
        <v>158.4</v>
      </c>
      <c r="Q3258" t="b">
        <v>0</v>
      </c>
      <c r="S3258" t="str">
        <f>"9780310531579"</f>
        <v>9780310531579</v>
      </c>
      <c r="T3258" t="str">
        <f>"9780310531586"</f>
        <v>9780310531586</v>
      </c>
      <c r="U3258" t="b">
        <v>0</v>
      </c>
      <c r="W3258" t="b">
        <v>0</v>
      </c>
    </row>
    <row r="3259" spans="1:23" x14ac:dyDescent="0.3">
      <c r="A3259">
        <v>1948541</v>
      </c>
      <c r="B3259">
        <v>58.62</v>
      </c>
      <c r="C3259" t="s">
        <v>7684</v>
      </c>
      <c r="D3259" t="s">
        <v>7685</v>
      </c>
      <c r="E3259" t="s">
        <v>49</v>
      </c>
      <c r="F3259" t="s">
        <v>106</v>
      </c>
      <c r="G3259">
        <v>2017</v>
      </c>
      <c r="H3259" t="s">
        <v>6490</v>
      </c>
      <c r="I3259" t="s">
        <v>7686</v>
      </c>
      <c r="J3259" t="s">
        <v>7687</v>
      </c>
      <c r="K3259" t="s">
        <v>25</v>
      </c>
      <c r="L3259" t="s">
        <v>26</v>
      </c>
      <c r="M3259" t="b">
        <v>1</v>
      </c>
      <c r="N3259" t="s">
        <v>7688</v>
      </c>
      <c r="O3259" t="str">
        <f>"200.9"</f>
        <v>200.9</v>
      </c>
      <c r="Q3259" t="b">
        <v>0</v>
      </c>
      <c r="S3259" t="str">
        <f>"9780310530718"</f>
        <v>9780310530718</v>
      </c>
      <c r="T3259" t="str">
        <f>"9780310530725"</f>
        <v>9780310530725</v>
      </c>
      <c r="U3259" t="b">
        <v>0</v>
      </c>
      <c r="W3259" t="b">
        <v>0</v>
      </c>
    </row>
    <row r="3260" spans="1:23" x14ac:dyDescent="0.3">
      <c r="A3260">
        <v>1948540</v>
      </c>
      <c r="B3260">
        <v>62.07</v>
      </c>
      <c r="C3260" t="s">
        <v>7689</v>
      </c>
      <c r="D3260" t="s">
        <v>7690</v>
      </c>
      <c r="E3260" t="s">
        <v>23</v>
      </c>
      <c r="F3260" t="s">
        <v>44</v>
      </c>
      <c r="G3260">
        <v>2017</v>
      </c>
      <c r="H3260" t="s">
        <v>751</v>
      </c>
      <c r="I3260" t="s">
        <v>7691</v>
      </c>
      <c r="J3260" t="s">
        <v>895</v>
      </c>
      <c r="K3260" t="s">
        <v>25</v>
      </c>
      <c r="L3260" t="s">
        <v>26</v>
      </c>
      <c r="M3260" t="b">
        <v>1</v>
      </c>
      <c r="N3260" t="s">
        <v>7692</v>
      </c>
      <c r="O3260" t="str">
        <f>"254.4"</f>
        <v>254.4</v>
      </c>
      <c r="Q3260" t="b">
        <v>0</v>
      </c>
      <c r="S3260" t="str">
        <f>"9780310530534"</f>
        <v>9780310530534</v>
      </c>
      <c r="T3260" t="str">
        <f>"9780310530541"</f>
        <v>9780310530541</v>
      </c>
      <c r="U3260" t="b">
        <v>0</v>
      </c>
      <c r="W3260" t="b">
        <v>0</v>
      </c>
    </row>
    <row r="3261" spans="1:23" x14ac:dyDescent="0.3">
      <c r="A3261">
        <v>1948539</v>
      </c>
      <c r="B3261">
        <v>68.97</v>
      </c>
      <c r="C3261" t="s">
        <v>7693</v>
      </c>
      <c r="D3261" t="s">
        <v>7694</v>
      </c>
      <c r="E3261" t="s">
        <v>49</v>
      </c>
      <c r="F3261" t="s">
        <v>44</v>
      </c>
      <c r="G3261">
        <v>2017</v>
      </c>
      <c r="H3261" t="s">
        <v>89</v>
      </c>
      <c r="I3261" t="s">
        <v>6397</v>
      </c>
      <c r="J3261" t="s">
        <v>7695</v>
      </c>
      <c r="K3261" t="s">
        <v>25</v>
      </c>
      <c r="L3261" t="s">
        <v>26</v>
      </c>
      <c r="M3261" t="b">
        <v>1</v>
      </c>
      <c r="N3261" t="s">
        <v>7696</v>
      </c>
      <c r="O3261" t="str">
        <f>"270.081"</f>
        <v>270.081</v>
      </c>
      <c r="Q3261" t="b">
        <v>0</v>
      </c>
      <c r="S3261" t="str">
        <f>"9780310529392"</f>
        <v>9780310529392</v>
      </c>
      <c r="T3261" t="str">
        <f>"9780310529408"</f>
        <v>9780310529408</v>
      </c>
      <c r="U3261" t="b">
        <v>0</v>
      </c>
      <c r="W3261" t="b">
        <v>0</v>
      </c>
    </row>
    <row r="3262" spans="1:23" x14ac:dyDescent="0.3">
      <c r="A3262">
        <v>1948538</v>
      </c>
      <c r="B3262">
        <v>65.52</v>
      </c>
      <c r="C3262" t="s">
        <v>7697</v>
      </c>
      <c r="D3262" t="s">
        <v>7698</v>
      </c>
      <c r="E3262" t="s">
        <v>23</v>
      </c>
      <c r="F3262" t="s">
        <v>106</v>
      </c>
      <c r="G3262">
        <v>2017</v>
      </c>
      <c r="H3262" t="s">
        <v>893</v>
      </c>
      <c r="K3262" t="s">
        <v>25</v>
      </c>
      <c r="L3262" t="s">
        <v>26</v>
      </c>
      <c r="M3262" t="b">
        <v>1</v>
      </c>
      <c r="N3262" t="s">
        <v>7699</v>
      </c>
      <c r="Q3262" t="b">
        <v>0</v>
      </c>
      <c r="S3262" t="str">
        <f>"9780310529354"</f>
        <v>9780310529354</v>
      </c>
      <c r="T3262" t="str">
        <f>"9780310529361"</f>
        <v>9780310529361</v>
      </c>
      <c r="U3262" t="b">
        <v>0</v>
      </c>
      <c r="W3262" t="b">
        <v>0</v>
      </c>
    </row>
    <row r="3263" spans="1:23" x14ac:dyDescent="0.3">
      <c r="A3263">
        <v>1948537</v>
      </c>
      <c r="B3263">
        <v>68.97</v>
      </c>
      <c r="C3263" t="s">
        <v>7700</v>
      </c>
      <c r="D3263" t="s">
        <v>7701</v>
      </c>
      <c r="E3263" t="s">
        <v>49</v>
      </c>
      <c r="F3263" t="s">
        <v>44</v>
      </c>
      <c r="G3263">
        <v>2017</v>
      </c>
      <c r="H3263" t="s">
        <v>107</v>
      </c>
      <c r="I3263" t="s">
        <v>3383</v>
      </c>
      <c r="J3263" t="s">
        <v>895</v>
      </c>
      <c r="K3263" t="s">
        <v>25</v>
      </c>
      <c r="L3263" t="s">
        <v>26</v>
      </c>
      <c r="M3263" t="b">
        <v>1</v>
      </c>
      <c r="N3263" t="s">
        <v>7702</v>
      </c>
      <c r="O3263" t="str">
        <f>"261.835766"</f>
        <v>261.835766</v>
      </c>
      <c r="Q3263" t="b">
        <v>0</v>
      </c>
      <c r="S3263" t="str">
        <f>"9780310526025"</f>
        <v>9780310526025</v>
      </c>
      <c r="T3263" t="str">
        <f>"9780310526032"</f>
        <v>9780310526032</v>
      </c>
      <c r="U3263" t="b">
        <v>0</v>
      </c>
      <c r="W3263" t="b">
        <v>0</v>
      </c>
    </row>
    <row r="3264" spans="1:23" x14ac:dyDescent="0.3">
      <c r="A3264">
        <v>1948536</v>
      </c>
      <c r="B3264">
        <v>51.72</v>
      </c>
      <c r="C3264" t="s">
        <v>7703</v>
      </c>
      <c r="E3264" t="s">
        <v>49</v>
      </c>
      <c r="F3264" t="s">
        <v>44</v>
      </c>
      <c r="G3264">
        <v>2017</v>
      </c>
      <c r="H3264" t="s">
        <v>70</v>
      </c>
      <c r="K3264" t="s">
        <v>25</v>
      </c>
      <c r="L3264" t="s">
        <v>26</v>
      </c>
      <c r="M3264" t="b">
        <v>1</v>
      </c>
      <c r="N3264" t="s">
        <v>1162</v>
      </c>
      <c r="P3264" t="s">
        <v>7704</v>
      </c>
      <c r="Q3264" t="b">
        <v>0</v>
      </c>
      <c r="S3264" t="str">
        <f>"9780310525974"</f>
        <v>9780310525974</v>
      </c>
      <c r="T3264" t="str">
        <f>"9780310525981"</f>
        <v>9780310525981</v>
      </c>
      <c r="U3264" t="b">
        <v>0</v>
      </c>
      <c r="W3264" t="b">
        <v>0</v>
      </c>
    </row>
    <row r="3265" spans="1:23" x14ac:dyDescent="0.3">
      <c r="A3265">
        <v>1948535</v>
      </c>
      <c r="B3265">
        <v>103.47</v>
      </c>
      <c r="C3265" t="s">
        <v>7705</v>
      </c>
      <c r="D3265" t="s">
        <v>7706</v>
      </c>
      <c r="E3265" t="s">
        <v>49</v>
      </c>
      <c r="F3265" t="s">
        <v>106</v>
      </c>
      <c r="G3265">
        <v>2017</v>
      </c>
      <c r="H3265" t="s">
        <v>1032</v>
      </c>
      <c r="I3265" t="s">
        <v>5620</v>
      </c>
      <c r="J3265" t="s">
        <v>7707</v>
      </c>
      <c r="K3265" t="s">
        <v>25</v>
      </c>
      <c r="L3265" t="s">
        <v>26</v>
      </c>
      <c r="M3265" t="b">
        <v>1</v>
      </c>
      <c r="N3265" t="s">
        <v>7708</v>
      </c>
      <c r="O3265" t="str">
        <f>"231.7"</f>
        <v>231.7</v>
      </c>
      <c r="P3265" t="s">
        <v>6637</v>
      </c>
      <c r="Q3265" t="b">
        <v>0</v>
      </c>
      <c r="S3265" t="str">
        <f>"9780310499824"</f>
        <v>9780310499824</v>
      </c>
      <c r="T3265" t="str">
        <f>"9780310499831"</f>
        <v>9780310499831</v>
      </c>
      <c r="U3265" t="b">
        <v>0</v>
      </c>
      <c r="W3265" t="b">
        <v>0</v>
      </c>
    </row>
    <row r="3266" spans="1:23" x14ac:dyDescent="0.3">
      <c r="A3266">
        <v>1948534</v>
      </c>
      <c r="B3266">
        <v>86.22</v>
      </c>
      <c r="C3266" t="s">
        <v>7709</v>
      </c>
      <c r="D3266" t="s">
        <v>7710</v>
      </c>
      <c r="E3266" t="s">
        <v>23</v>
      </c>
      <c r="F3266" t="s">
        <v>44</v>
      </c>
      <c r="G3266">
        <v>2016</v>
      </c>
      <c r="H3266" t="s">
        <v>705</v>
      </c>
      <c r="K3266" t="s">
        <v>25</v>
      </c>
      <c r="L3266" t="s">
        <v>26</v>
      </c>
      <c r="M3266" t="b">
        <v>1</v>
      </c>
      <c r="N3266" t="s">
        <v>7711</v>
      </c>
      <c r="Q3266" t="b">
        <v>0</v>
      </c>
      <c r="S3266" t="str">
        <f>"9780310515944"</f>
        <v>9780310515944</v>
      </c>
      <c r="T3266" t="str">
        <f>"9780310535430"</f>
        <v>9780310535430</v>
      </c>
      <c r="U3266" t="b">
        <v>0</v>
      </c>
      <c r="W3266" t="b">
        <v>0</v>
      </c>
    </row>
    <row r="3267" spans="1:23" x14ac:dyDescent="0.3">
      <c r="A3267">
        <v>1948533</v>
      </c>
      <c r="B3267">
        <v>58.62</v>
      </c>
      <c r="C3267" t="s">
        <v>7712</v>
      </c>
      <c r="D3267" t="s">
        <v>7713</v>
      </c>
      <c r="E3267" t="s">
        <v>49</v>
      </c>
      <c r="F3267" t="s">
        <v>44</v>
      </c>
      <c r="G3267">
        <v>2016</v>
      </c>
      <c r="H3267" t="s">
        <v>3527</v>
      </c>
      <c r="K3267" t="s">
        <v>25</v>
      </c>
      <c r="L3267" t="s">
        <v>26</v>
      </c>
      <c r="M3267" t="b">
        <v>1</v>
      </c>
      <c r="N3267" t="s">
        <v>3380</v>
      </c>
      <c r="Q3267" t="b">
        <v>0</v>
      </c>
      <c r="S3267" t="str">
        <f>"9780310523314"</f>
        <v>9780310523314</v>
      </c>
      <c r="T3267" t="str">
        <f>"9780310534242"</f>
        <v>9780310534242</v>
      </c>
      <c r="U3267" t="b">
        <v>0</v>
      </c>
      <c r="W3267" t="b">
        <v>0</v>
      </c>
    </row>
    <row r="3268" spans="1:23" x14ac:dyDescent="0.3">
      <c r="A3268">
        <v>1948532</v>
      </c>
      <c r="B3268">
        <v>79.319999999999993</v>
      </c>
      <c r="C3268" t="s">
        <v>7714</v>
      </c>
      <c r="D3268" t="s">
        <v>7715</v>
      </c>
      <c r="E3268" t="s">
        <v>49</v>
      </c>
      <c r="F3268" t="s">
        <v>106</v>
      </c>
      <c r="G3268">
        <v>2017</v>
      </c>
      <c r="H3268" t="s">
        <v>871</v>
      </c>
      <c r="I3268" t="s">
        <v>7716</v>
      </c>
      <c r="J3268" t="s">
        <v>7717</v>
      </c>
      <c r="K3268" t="s">
        <v>25</v>
      </c>
      <c r="L3268" t="s">
        <v>26</v>
      </c>
      <c r="M3268" t="b">
        <v>1</v>
      </c>
      <c r="N3268" t="s">
        <v>1026</v>
      </c>
      <c r="O3268" t="str">
        <f>"231/.3"</f>
        <v>231/.3</v>
      </c>
      <c r="Q3268" t="b">
        <v>0</v>
      </c>
      <c r="S3268" t="str">
        <f>"9780310534068"</f>
        <v>9780310534068</v>
      </c>
      <c r="T3268" t="str">
        <f>"9780310534075"</f>
        <v>9780310534075</v>
      </c>
      <c r="U3268" t="b">
        <v>0</v>
      </c>
      <c r="W3268" t="b">
        <v>0</v>
      </c>
    </row>
    <row r="3269" spans="1:23" x14ac:dyDescent="0.3">
      <c r="A3269">
        <v>1948531</v>
      </c>
      <c r="B3269">
        <v>65.52</v>
      </c>
      <c r="C3269" t="s">
        <v>7718</v>
      </c>
      <c r="D3269" t="s">
        <v>7719</v>
      </c>
      <c r="E3269" t="s">
        <v>49</v>
      </c>
      <c r="F3269" t="s">
        <v>44</v>
      </c>
      <c r="G3269">
        <v>2017</v>
      </c>
      <c r="H3269" t="s">
        <v>1209</v>
      </c>
      <c r="I3269" t="s">
        <v>7720</v>
      </c>
      <c r="J3269" t="s">
        <v>7721</v>
      </c>
      <c r="K3269" t="s">
        <v>25</v>
      </c>
      <c r="L3269" t="s">
        <v>26</v>
      </c>
      <c r="M3269" t="b">
        <v>1</v>
      </c>
      <c r="N3269" t="s">
        <v>2840</v>
      </c>
      <c r="O3269" t="str">
        <f>"234.13"</f>
        <v>234.13</v>
      </c>
      <c r="Q3269" t="b">
        <v>0</v>
      </c>
      <c r="S3269" t="str">
        <f>"9780310533849"</f>
        <v>9780310533849</v>
      </c>
      <c r="T3269" t="str">
        <f>"9780310533856"</f>
        <v>9780310533856</v>
      </c>
      <c r="U3269" t="b">
        <v>0</v>
      </c>
      <c r="W3269" t="b">
        <v>0</v>
      </c>
    </row>
    <row r="3270" spans="1:23" x14ac:dyDescent="0.3">
      <c r="A3270">
        <v>1948530</v>
      </c>
      <c r="B3270">
        <v>62.07</v>
      </c>
      <c r="C3270" t="s">
        <v>7722</v>
      </c>
      <c r="D3270" t="s">
        <v>7723</v>
      </c>
      <c r="E3270" t="s">
        <v>49</v>
      </c>
      <c r="F3270" t="s">
        <v>44</v>
      </c>
      <c r="G3270">
        <v>2017</v>
      </c>
      <c r="H3270" t="s">
        <v>756</v>
      </c>
      <c r="K3270" t="s">
        <v>25</v>
      </c>
      <c r="L3270" t="s">
        <v>26</v>
      </c>
      <c r="M3270" t="b">
        <v>1</v>
      </c>
      <c r="N3270" t="s">
        <v>6026</v>
      </c>
      <c r="Q3270" t="b">
        <v>0</v>
      </c>
      <c r="S3270" t="str">
        <f>"9780310531104"</f>
        <v>9780310531104</v>
      </c>
      <c r="T3270" t="str">
        <f>"9780310531128"</f>
        <v>9780310531128</v>
      </c>
      <c r="U3270" t="b">
        <v>0</v>
      </c>
      <c r="W3270" t="b">
        <v>0</v>
      </c>
    </row>
    <row r="3271" spans="1:23" x14ac:dyDescent="0.3">
      <c r="A3271">
        <v>1948529</v>
      </c>
      <c r="B3271">
        <v>62.07</v>
      </c>
      <c r="C3271" t="s">
        <v>7724</v>
      </c>
      <c r="D3271" t="s">
        <v>7725</v>
      </c>
      <c r="E3271" t="s">
        <v>49</v>
      </c>
      <c r="F3271" t="s">
        <v>44</v>
      </c>
      <c r="G3271">
        <v>2017</v>
      </c>
      <c r="H3271" t="s">
        <v>58</v>
      </c>
      <c r="I3271" t="s">
        <v>7726</v>
      </c>
      <c r="J3271" t="s">
        <v>895</v>
      </c>
      <c r="K3271" t="s">
        <v>25</v>
      </c>
      <c r="L3271" t="s">
        <v>26</v>
      </c>
      <c r="M3271" t="b">
        <v>1</v>
      </c>
      <c r="N3271" t="s">
        <v>7727</v>
      </c>
      <c r="O3271" t="str">
        <f>"232.9/04"</f>
        <v>232.9/04</v>
      </c>
      <c r="Q3271" t="b">
        <v>0</v>
      </c>
      <c r="S3271" t="str">
        <f>"9780310529231"</f>
        <v>9780310529231</v>
      </c>
      <c r="T3271" t="str">
        <f>"9780310529248"</f>
        <v>9780310529248</v>
      </c>
      <c r="U3271" t="b">
        <v>0</v>
      </c>
      <c r="W3271" t="b">
        <v>0</v>
      </c>
    </row>
    <row r="3272" spans="1:23" x14ac:dyDescent="0.3">
      <c r="A3272">
        <v>1948528</v>
      </c>
      <c r="B3272">
        <v>65.52</v>
      </c>
      <c r="C3272" t="s">
        <v>7728</v>
      </c>
      <c r="D3272" t="s">
        <v>7729</v>
      </c>
      <c r="E3272" t="s">
        <v>23</v>
      </c>
      <c r="F3272" t="s">
        <v>106</v>
      </c>
      <c r="G3272">
        <v>2017</v>
      </c>
      <c r="H3272" t="s">
        <v>1187</v>
      </c>
      <c r="I3272" t="s">
        <v>1188</v>
      </c>
      <c r="J3272" t="s">
        <v>7730</v>
      </c>
      <c r="K3272" t="s">
        <v>25</v>
      </c>
      <c r="L3272" t="s">
        <v>26</v>
      </c>
      <c r="M3272" t="b">
        <v>1</v>
      </c>
      <c r="N3272" t="s">
        <v>789</v>
      </c>
      <c r="O3272" t="str">
        <f>"230"</f>
        <v>230</v>
      </c>
      <c r="Q3272" t="b">
        <v>0</v>
      </c>
      <c r="S3272" t="str">
        <f>"9780310521556"</f>
        <v>9780310521556</v>
      </c>
      <c r="T3272" t="str">
        <f>"9780310521563"</f>
        <v>9780310521563</v>
      </c>
      <c r="U3272" t="b">
        <v>0</v>
      </c>
      <c r="W3272" t="b">
        <v>0</v>
      </c>
    </row>
    <row r="3273" spans="1:23" x14ac:dyDescent="0.3">
      <c r="A3273">
        <v>1948527</v>
      </c>
      <c r="B3273">
        <v>206.97</v>
      </c>
      <c r="C3273" t="s">
        <v>7731</v>
      </c>
      <c r="D3273" t="s">
        <v>7732</v>
      </c>
      <c r="E3273" t="s">
        <v>49</v>
      </c>
      <c r="F3273" t="s">
        <v>106</v>
      </c>
      <c r="G3273">
        <v>2017</v>
      </c>
      <c r="H3273" t="s">
        <v>954</v>
      </c>
      <c r="I3273" t="s">
        <v>7733</v>
      </c>
      <c r="J3273" t="s">
        <v>7734</v>
      </c>
      <c r="K3273" t="s">
        <v>25</v>
      </c>
      <c r="L3273" t="s">
        <v>26</v>
      </c>
      <c r="M3273" t="b">
        <v>1</v>
      </c>
      <c r="N3273" t="s">
        <v>44</v>
      </c>
      <c r="O3273" t="str">
        <f>"261.5503"</f>
        <v>261.5503</v>
      </c>
      <c r="Q3273" t="b">
        <v>0</v>
      </c>
      <c r="S3273" t="str">
        <f>"9780310496052"</f>
        <v>9780310496052</v>
      </c>
      <c r="T3273" t="str">
        <f>"9780310496069"</f>
        <v>9780310496069</v>
      </c>
      <c r="U3273" t="b">
        <v>0</v>
      </c>
      <c r="W3273" t="b">
        <v>0</v>
      </c>
    </row>
    <row r="3274" spans="1:23" x14ac:dyDescent="0.3">
      <c r="A3274">
        <v>1948526</v>
      </c>
      <c r="B3274">
        <v>55.17</v>
      </c>
      <c r="C3274" t="s">
        <v>7735</v>
      </c>
      <c r="D3274" t="s">
        <v>7736</v>
      </c>
      <c r="E3274" t="s">
        <v>49</v>
      </c>
      <c r="F3274" t="s">
        <v>44</v>
      </c>
      <c r="G3274">
        <v>2016</v>
      </c>
      <c r="H3274" t="s">
        <v>56</v>
      </c>
      <c r="K3274" t="s">
        <v>25</v>
      </c>
      <c r="L3274" t="s">
        <v>26</v>
      </c>
      <c r="M3274" t="b">
        <v>1</v>
      </c>
      <c r="N3274" t="s">
        <v>7737</v>
      </c>
      <c r="Q3274" t="b">
        <v>0</v>
      </c>
      <c r="S3274" t="str">
        <f>"9780310523536"</f>
        <v>9780310523536</v>
      </c>
      <c r="T3274" t="str">
        <f>"9780310523543"</f>
        <v>9780310523543</v>
      </c>
      <c r="U3274" t="b">
        <v>0</v>
      </c>
      <c r="W3274" t="b">
        <v>0</v>
      </c>
    </row>
    <row r="3275" spans="1:23" x14ac:dyDescent="0.3">
      <c r="A3275">
        <v>1948525</v>
      </c>
      <c r="B3275">
        <v>58.62</v>
      </c>
      <c r="C3275" t="s">
        <v>7738</v>
      </c>
      <c r="D3275" t="s">
        <v>7739</v>
      </c>
      <c r="E3275" t="s">
        <v>23</v>
      </c>
      <c r="F3275" t="s">
        <v>106</v>
      </c>
      <c r="G3275">
        <v>2016</v>
      </c>
      <c r="H3275" t="s">
        <v>7740</v>
      </c>
      <c r="I3275" t="s">
        <v>7741</v>
      </c>
      <c r="K3275" t="s">
        <v>25</v>
      </c>
      <c r="L3275" t="s">
        <v>26</v>
      </c>
      <c r="M3275" t="b">
        <v>1</v>
      </c>
      <c r="N3275" t="s">
        <v>7742</v>
      </c>
      <c r="O3275" t="str">
        <f>"193"</f>
        <v>193</v>
      </c>
      <c r="Q3275" t="b">
        <v>0</v>
      </c>
      <c r="S3275" t="str">
        <f>"9780310000921"</f>
        <v>9780310000921</v>
      </c>
      <c r="T3275" t="str">
        <f>"9780310001003"</f>
        <v>9780310001003</v>
      </c>
      <c r="U3275" t="b">
        <v>0</v>
      </c>
      <c r="W3275" t="b">
        <v>0</v>
      </c>
    </row>
    <row r="3276" spans="1:23" x14ac:dyDescent="0.3">
      <c r="A3276">
        <v>1948524</v>
      </c>
      <c r="B3276">
        <v>65.52</v>
      </c>
      <c r="C3276" t="s">
        <v>7743</v>
      </c>
      <c r="D3276" t="s">
        <v>7744</v>
      </c>
      <c r="E3276" t="s">
        <v>49</v>
      </c>
      <c r="F3276" t="s">
        <v>44</v>
      </c>
      <c r="G3276">
        <v>2017</v>
      </c>
      <c r="H3276" t="s">
        <v>50</v>
      </c>
      <c r="I3276" t="s">
        <v>7745</v>
      </c>
      <c r="J3276" t="s">
        <v>7746</v>
      </c>
      <c r="K3276" t="s">
        <v>25</v>
      </c>
      <c r="L3276" t="s">
        <v>26</v>
      </c>
      <c r="M3276" t="b">
        <v>1</v>
      </c>
      <c r="N3276" t="s">
        <v>7194</v>
      </c>
      <c r="O3276" t="str">
        <f>"253"</f>
        <v>253</v>
      </c>
      <c r="Q3276" t="b">
        <v>0</v>
      </c>
      <c r="S3276" t="str">
        <f>"9780310671077"</f>
        <v>9780310671077</v>
      </c>
      <c r="T3276" t="str">
        <f>"9780310578987"</f>
        <v>9780310578987</v>
      </c>
      <c r="U3276" t="b">
        <v>0</v>
      </c>
      <c r="W3276" t="b">
        <v>0</v>
      </c>
    </row>
    <row r="3277" spans="1:23" x14ac:dyDescent="0.3">
      <c r="A3277">
        <v>1948523</v>
      </c>
      <c r="B3277">
        <v>58.62</v>
      </c>
      <c r="C3277" t="s">
        <v>3111</v>
      </c>
      <c r="D3277" t="s">
        <v>3112</v>
      </c>
      <c r="E3277" t="s">
        <v>49</v>
      </c>
      <c r="F3277" t="s">
        <v>44</v>
      </c>
      <c r="G3277">
        <v>2016</v>
      </c>
      <c r="H3277" t="s">
        <v>57</v>
      </c>
      <c r="I3277" t="s">
        <v>1167</v>
      </c>
      <c r="J3277" t="s">
        <v>895</v>
      </c>
      <c r="K3277" t="s">
        <v>25</v>
      </c>
      <c r="L3277" t="s">
        <v>26</v>
      </c>
      <c r="M3277" t="b">
        <v>1</v>
      </c>
      <c r="N3277" t="s">
        <v>851</v>
      </c>
      <c r="O3277" t="str">
        <f>"232/.8"</f>
        <v>232/.8</v>
      </c>
      <c r="Q3277" t="b">
        <v>0</v>
      </c>
      <c r="S3277" t="str">
        <f>"9780310531456"</f>
        <v>9780310531456</v>
      </c>
      <c r="T3277" t="str">
        <f>"9780310531487"</f>
        <v>9780310531487</v>
      </c>
      <c r="U3277" t="b">
        <v>0</v>
      </c>
      <c r="W3277" t="b">
        <v>0</v>
      </c>
    </row>
    <row r="3278" spans="1:23" x14ac:dyDescent="0.3">
      <c r="A3278">
        <v>1948522</v>
      </c>
      <c r="B3278">
        <v>58.62</v>
      </c>
      <c r="C3278" t="s">
        <v>7747</v>
      </c>
      <c r="E3278" t="s">
        <v>49</v>
      </c>
      <c r="F3278" t="s">
        <v>106</v>
      </c>
      <c r="G3278">
        <v>2016</v>
      </c>
      <c r="H3278" t="s">
        <v>1126</v>
      </c>
      <c r="I3278" t="s">
        <v>7244</v>
      </c>
      <c r="J3278" t="s">
        <v>7748</v>
      </c>
      <c r="K3278" t="s">
        <v>25</v>
      </c>
      <c r="L3278" t="s">
        <v>26</v>
      </c>
      <c r="M3278" t="b">
        <v>1</v>
      </c>
      <c r="N3278" t="s">
        <v>44</v>
      </c>
      <c r="O3278" t="str">
        <f>"261.8/35766"</f>
        <v>261.8/35766</v>
      </c>
      <c r="P3278" t="s">
        <v>925</v>
      </c>
      <c r="Q3278" t="b">
        <v>0</v>
      </c>
      <c r="S3278" t="str">
        <f>"9780310528630"</f>
        <v>9780310528630</v>
      </c>
      <c r="T3278" t="str">
        <f>"9780310528647"</f>
        <v>9780310528647</v>
      </c>
      <c r="U3278" t="b">
        <v>0</v>
      </c>
      <c r="W3278" t="b">
        <v>0</v>
      </c>
    </row>
    <row r="3279" spans="1:23" x14ac:dyDescent="0.3">
      <c r="A3279">
        <v>1948521</v>
      </c>
      <c r="B3279">
        <v>62.07</v>
      </c>
      <c r="C3279" t="s">
        <v>7749</v>
      </c>
      <c r="D3279" t="s">
        <v>7750</v>
      </c>
      <c r="E3279" t="s">
        <v>49</v>
      </c>
      <c r="F3279" t="s">
        <v>44</v>
      </c>
      <c r="G3279">
        <v>2016</v>
      </c>
      <c r="H3279" t="s">
        <v>1234</v>
      </c>
      <c r="I3279" t="s">
        <v>7751</v>
      </c>
      <c r="J3279" t="s">
        <v>7752</v>
      </c>
      <c r="K3279" t="s">
        <v>25</v>
      </c>
      <c r="L3279" t="s">
        <v>26</v>
      </c>
      <c r="M3279" t="b">
        <v>1</v>
      </c>
      <c r="N3279" t="s">
        <v>7753</v>
      </c>
      <c r="O3279" t="str">
        <f>"261.80973"</f>
        <v>261.80973</v>
      </c>
      <c r="Q3279" t="b">
        <v>0</v>
      </c>
      <c r="S3279" t="str">
        <f>"9780310527831"</f>
        <v>9780310527831</v>
      </c>
      <c r="T3279" t="str">
        <f>"9780310527848"</f>
        <v>9780310527848</v>
      </c>
      <c r="U3279" t="b">
        <v>0</v>
      </c>
      <c r="W3279" t="b">
        <v>0</v>
      </c>
    </row>
    <row r="3280" spans="1:23" x14ac:dyDescent="0.3">
      <c r="A3280">
        <v>1948520</v>
      </c>
      <c r="B3280">
        <v>58.62</v>
      </c>
      <c r="C3280" t="s">
        <v>7754</v>
      </c>
      <c r="E3280" t="s">
        <v>49</v>
      </c>
      <c r="F3280" t="s">
        <v>44</v>
      </c>
      <c r="G3280">
        <v>2016</v>
      </c>
      <c r="H3280" t="s">
        <v>954</v>
      </c>
      <c r="K3280" t="s">
        <v>25</v>
      </c>
      <c r="L3280" t="s">
        <v>26</v>
      </c>
      <c r="M3280" t="b">
        <v>1</v>
      </c>
      <c r="N3280" t="s">
        <v>7755</v>
      </c>
      <c r="Q3280" t="b">
        <v>0</v>
      </c>
      <c r="S3280" t="str">
        <f>"9780310526445"</f>
        <v>9780310526445</v>
      </c>
      <c r="T3280" t="str">
        <f>"9780310526452"</f>
        <v>9780310526452</v>
      </c>
      <c r="U3280" t="b">
        <v>0</v>
      </c>
      <c r="W3280" t="b">
        <v>0</v>
      </c>
    </row>
    <row r="3281" spans="1:23" x14ac:dyDescent="0.3">
      <c r="A3281">
        <v>1948519</v>
      </c>
      <c r="B3281">
        <v>65.52</v>
      </c>
      <c r="C3281" t="s">
        <v>7756</v>
      </c>
      <c r="D3281" t="s">
        <v>7757</v>
      </c>
      <c r="E3281" t="s">
        <v>49</v>
      </c>
      <c r="F3281" t="s">
        <v>44</v>
      </c>
      <c r="G3281">
        <v>2016</v>
      </c>
      <c r="H3281" t="s">
        <v>1044</v>
      </c>
      <c r="I3281" t="s">
        <v>7758</v>
      </c>
      <c r="J3281" t="s">
        <v>7759</v>
      </c>
      <c r="K3281" t="s">
        <v>25</v>
      </c>
      <c r="L3281" t="s">
        <v>26</v>
      </c>
      <c r="M3281" t="b">
        <v>1</v>
      </c>
      <c r="N3281" t="s">
        <v>7760</v>
      </c>
      <c r="O3281" t="str">
        <f>"264/.2"</f>
        <v>264/.2</v>
      </c>
      <c r="Q3281" t="b">
        <v>0</v>
      </c>
      <c r="S3281" t="str">
        <f>"9780310525196"</f>
        <v>9780310525196</v>
      </c>
      <c r="T3281" t="str">
        <f>"9780310525240"</f>
        <v>9780310525240</v>
      </c>
      <c r="U3281" t="b">
        <v>0</v>
      </c>
      <c r="W3281" t="b">
        <v>0</v>
      </c>
    </row>
    <row r="3282" spans="1:23" x14ac:dyDescent="0.3">
      <c r="A3282">
        <v>1948518</v>
      </c>
      <c r="B3282">
        <v>68.97</v>
      </c>
      <c r="C3282" t="s">
        <v>7761</v>
      </c>
      <c r="D3282" t="s">
        <v>7762</v>
      </c>
      <c r="E3282" t="s">
        <v>49</v>
      </c>
      <c r="F3282" t="s">
        <v>44</v>
      </c>
      <c r="G3282">
        <v>2016</v>
      </c>
      <c r="H3282" t="s">
        <v>52</v>
      </c>
      <c r="I3282" t="s">
        <v>7763</v>
      </c>
      <c r="J3282" t="s">
        <v>7764</v>
      </c>
      <c r="K3282" t="s">
        <v>25</v>
      </c>
      <c r="L3282" t="s">
        <v>26</v>
      </c>
      <c r="M3282" t="b">
        <v>1</v>
      </c>
      <c r="N3282" t="s">
        <v>7765</v>
      </c>
      <c r="O3282" t="str">
        <f>"253.5"</f>
        <v>253.5</v>
      </c>
      <c r="Q3282" t="b">
        <v>0</v>
      </c>
      <c r="S3282" t="str">
        <f>"9780310524274"</f>
        <v>9780310524274</v>
      </c>
      <c r="T3282" t="str">
        <f>"9780310524281"</f>
        <v>9780310524281</v>
      </c>
      <c r="U3282" t="b">
        <v>0</v>
      </c>
      <c r="V3282" t="s">
        <v>6244</v>
      </c>
      <c r="W3282" t="b">
        <v>0</v>
      </c>
    </row>
    <row r="3283" spans="1:23" x14ac:dyDescent="0.3">
      <c r="A3283">
        <v>1948517</v>
      </c>
      <c r="B3283">
        <v>75.87</v>
      </c>
      <c r="C3283" t="s">
        <v>7766</v>
      </c>
      <c r="D3283" t="s">
        <v>7767</v>
      </c>
      <c r="E3283" t="s">
        <v>49</v>
      </c>
      <c r="F3283" t="s">
        <v>106</v>
      </c>
      <c r="G3283">
        <v>2017</v>
      </c>
      <c r="H3283" t="s">
        <v>5760</v>
      </c>
      <c r="I3283" t="s">
        <v>7768</v>
      </c>
      <c r="J3283" t="s">
        <v>7769</v>
      </c>
      <c r="K3283" t="s">
        <v>25</v>
      </c>
      <c r="L3283" t="s">
        <v>26</v>
      </c>
      <c r="M3283" t="b">
        <v>1</v>
      </c>
      <c r="N3283" t="s">
        <v>7770</v>
      </c>
      <c r="O3283" t="str">
        <f>"234"</f>
        <v>234</v>
      </c>
      <c r="P3283" t="s">
        <v>7771</v>
      </c>
      <c r="Q3283" t="b">
        <v>0</v>
      </c>
      <c r="S3283" t="str">
        <f>"9780310515760"</f>
        <v>9780310515760</v>
      </c>
      <c r="T3283" t="str">
        <f>"9780310515777"</f>
        <v>9780310515777</v>
      </c>
      <c r="U3283" t="b">
        <v>0</v>
      </c>
      <c r="W3283" t="b">
        <v>0</v>
      </c>
    </row>
    <row r="3284" spans="1:23" x14ac:dyDescent="0.3">
      <c r="A3284">
        <v>1948516</v>
      </c>
      <c r="B3284">
        <v>86.22</v>
      </c>
      <c r="C3284" t="s">
        <v>7772</v>
      </c>
      <c r="D3284" t="s">
        <v>7773</v>
      </c>
      <c r="E3284" t="s">
        <v>49</v>
      </c>
      <c r="F3284" t="s">
        <v>106</v>
      </c>
      <c r="G3284">
        <v>2017</v>
      </c>
      <c r="H3284" t="s">
        <v>2603</v>
      </c>
      <c r="I3284" t="s">
        <v>1167</v>
      </c>
      <c r="K3284" t="s">
        <v>25</v>
      </c>
      <c r="L3284" t="s">
        <v>26</v>
      </c>
      <c r="M3284" t="b">
        <v>1</v>
      </c>
      <c r="N3284" t="s">
        <v>7774</v>
      </c>
      <c r="O3284" t="str">
        <f>"232"</f>
        <v>232</v>
      </c>
      <c r="P3284" t="s">
        <v>7775</v>
      </c>
      <c r="Q3284" t="b">
        <v>0</v>
      </c>
      <c r="S3284" t="str">
        <f>"9780310515746"</f>
        <v>9780310515746</v>
      </c>
      <c r="T3284" t="str">
        <f>"9780310515753"</f>
        <v>9780310515753</v>
      </c>
      <c r="U3284" t="b">
        <v>0</v>
      </c>
      <c r="W3284" t="b">
        <v>0</v>
      </c>
    </row>
    <row r="3285" spans="1:23" x14ac:dyDescent="0.3">
      <c r="A3285">
        <v>1948515</v>
      </c>
      <c r="B3285">
        <v>155.22</v>
      </c>
      <c r="C3285" t="s">
        <v>7776</v>
      </c>
      <c r="E3285" t="s">
        <v>49</v>
      </c>
      <c r="F3285" t="s">
        <v>106</v>
      </c>
      <c r="G3285">
        <v>2018</v>
      </c>
      <c r="H3285" t="s">
        <v>927</v>
      </c>
      <c r="I3285" t="s">
        <v>7777</v>
      </c>
      <c r="K3285" t="s">
        <v>25</v>
      </c>
      <c r="L3285" t="s">
        <v>26</v>
      </c>
      <c r="M3285" t="b">
        <v>1</v>
      </c>
      <c r="N3285" t="s">
        <v>7778</v>
      </c>
      <c r="O3285" t="str">
        <f>"224.2077"</f>
        <v>224.2077</v>
      </c>
      <c r="P3285" t="s">
        <v>6546</v>
      </c>
      <c r="Q3285" t="b">
        <v>0</v>
      </c>
      <c r="S3285" t="str">
        <f>"9780310522294"</f>
        <v>9780310522294</v>
      </c>
      <c r="T3285" t="str">
        <f>"9780310588719"</f>
        <v>9780310588719</v>
      </c>
      <c r="U3285" t="b">
        <v>0</v>
      </c>
      <c r="W3285" t="b">
        <v>0</v>
      </c>
    </row>
    <row r="3286" spans="1:23" x14ac:dyDescent="0.3">
      <c r="A3286">
        <v>1948514</v>
      </c>
      <c r="B3286">
        <v>155.22</v>
      </c>
      <c r="C3286" t="s">
        <v>7779</v>
      </c>
      <c r="E3286" t="s">
        <v>49</v>
      </c>
      <c r="F3286" t="s">
        <v>106</v>
      </c>
      <c r="G3286">
        <v>2018</v>
      </c>
      <c r="H3286" t="s">
        <v>927</v>
      </c>
      <c r="I3286" t="s">
        <v>3432</v>
      </c>
      <c r="K3286" t="s">
        <v>25</v>
      </c>
      <c r="L3286" t="s">
        <v>26</v>
      </c>
      <c r="M3286" t="b">
        <v>1</v>
      </c>
      <c r="N3286" t="s">
        <v>7780</v>
      </c>
      <c r="O3286" t="str">
        <f>"224.2077"</f>
        <v>224.2077</v>
      </c>
      <c r="P3286" t="s">
        <v>7781</v>
      </c>
      <c r="Q3286" t="b">
        <v>0</v>
      </c>
      <c r="S3286" t="str">
        <f>"9780310522256"</f>
        <v>9780310522256</v>
      </c>
      <c r="T3286" t="str">
        <f>"9780310588696"</f>
        <v>9780310588696</v>
      </c>
      <c r="U3286" t="b">
        <v>0</v>
      </c>
      <c r="W3286" t="b">
        <v>0</v>
      </c>
    </row>
    <row r="3287" spans="1:23" x14ac:dyDescent="0.3">
      <c r="A3287">
        <v>1948513</v>
      </c>
      <c r="B3287">
        <v>172.47</v>
      </c>
      <c r="C3287" t="s">
        <v>7782</v>
      </c>
      <c r="D3287" t="s">
        <v>3445</v>
      </c>
      <c r="E3287" t="s">
        <v>49</v>
      </c>
      <c r="F3287" t="s">
        <v>106</v>
      </c>
      <c r="G3287">
        <v>2004</v>
      </c>
      <c r="H3287" t="s">
        <v>1181</v>
      </c>
      <c r="I3287" t="s">
        <v>7783</v>
      </c>
      <c r="K3287" t="s">
        <v>25</v>
      </c>
      <c r="L3287" t="s">
        <v>26</v>
      </c>
      <c r="M3287" t="b">
        <v>1</v>
      </c>
      <c r="N3287" t="s">
        <v>7784</v>
      </c>
      <c r="O3287" t="str">
        <f>"223.2077"</f>
        <v>223.2077</v>
      </c>
      <c r="P3287" t="s">
        <v>6546</v>
      </c>
      <c r="Q3287" t="b">
        <v>0</v>
      </c>
      <c r="S3287" t="str">
        <f>"9780310522058"</f>
        <v>9780310522058</v>
      </c>
      <c r="T3287" t="str">
        <f>"9780310588399"</f>
        <v>9780310588399</v>
      </c>
      <c r="U3287" t="b">
        <v>0</v>
      </c>
      <c r="V3287" t="s">
        <v>6824</v>
      </c>
      <c r="W3287" t="b">
        <v>0</v>
      </c>
    </row>
    <row r="3288" spans="1:23" x14ac:dyDescent="0.3">
      <c r="A3288">
        <v>1948512</v>
      </c>
      <c r="B3288">
        <v>65.52</v>
      </c>
      <c r="C3288" t="s">
        <v>7785</v>
      </c>
      <c r="E3288" t="s">
        <v>49</v>
      </c>
      <c r="F3288" t="s">
        <v>44</v>
      </c>
      <c r="G3288">
        <v>2017</v>
      </c>
      <c r="H3288" t="s">
        <v>881</v>
      </c>
      <c r="I3288" t="s">
        <v>7786</v>
      </c>
      <c r="J3288" t="s">
        <v>7787</v>
      </c>
      <c r="K3288" t="s">
        <v>25</v>
      </c>
      <c r="L3288" t="s">
        <v>30</v>
      </c>
      <c r="M3288" t="b">
        <v>1</v>
      </c>
      <c r="N3288" t="s">
        <v>7251</v>
      </c>
      <c r="O3288" t="str">
        <f>"231.7"</f>
        <v>231.7</v>
      </c>
      <c r="Q3288" t="b">
        <v>0</v>
      </c>
      <c r="S3288" t="str">
        <f>"9780310281016"</f>
        <v>9780310281016</v>
      </c>
      <c r="T3288" t="str">
        <f>"9780310537601"</f>
        <v>9780310537601</v>
      </c>
      <c r="U3288" t="b">
        <v>0</v>
      </c>
      <c r="W3288" t="b">
        <v>0</v>
      </c>
    </row>
    <row r="3289" spans="1:23" x14ac:dyDescent="0.3">
      <c r="A3289">
        <v>1948511</v>
      </c>
      <c r="B3289">
        <v>58.62</v>
      </c>
      <c r="C3289" t="s">
        <v>7788</v>
      </c>
      <c r="D3289" t="s">
        <v>7789</v>
      </c>
      <c r="E3289" t="s">
        <v>23</v>
      </c>
      <c r="F3289" t="s">
        <v>44</v>
      </c>
      <c r="G3289">
        <v>2016</v>
      </c>
      <c r="H3289" t="s">
        <v>6402</v>
      </c>
      <c r="I3289" t="s">
        <v>7790</v>
      </c>
      <c r="J3289" t="s">
        <v>7791</v>
      </c>
      <c r="K3289" t="s">
        <v>25</v>
      </c>
      <c r="L3289" t="s">
        <v>26</v>
      </c>
      <c r="M3289" t="b">
        <v>1</v>
      </c>
      <c r="N3289" t="s">
        <v>6745</v>
      </c>
      <c r="O3289" t="str">
        <f>"297.7/2"</f>
        <v>297.7/2</v>
      </c>
      <c r="Q3289" t="b">
        <v>0</v>
      </c>
      <c r="S3289" t="str">
        <f>"9780310531388"</f>
        <v>9780310531388</v>
      </c>
      <c r="T3289" t="str">
        <f>"9780310531395"</f>
        <v>9780310531395</v>
      </c>
      <c r="U3289" t="b">
        <v>0</v>
      </c>
      <c r="W3289" t="b">
        <v>0</v>
      </c>
    </row>
    <row r="3290" spans="1:23" x14ac:dyDescent="0.3">
      <c r="A3290">
        <v>1948510</v>
      </c>
      <c r="B3290">
        <v>46.16</v>
      </c>
      <c r="C3290" t="s">
        <v>7792</v>
      </c>
      <c r="D3290" t="s">
        <v>7793</v>
      </c>
      <c r="E3290" t="s">
        <v>49</v>
      </c>
      <c r="F3290" t="s">
        <v>44</v>
      </c>
      <c r="G3290">
        <v>2016</v>
      </c>
      <c r="H3290" t="s">
        <v>804</v>
      </c>
      <c r="I3290" t="s">
        <v>7794</v>
      </c>
      <c r="J3290" t="s">
        <v>6483</v>
      </c>
      <c r="K3290" t="s">
        <v>25</v>
      </c>
      <c r="L3290" t="s">
        <v>26</v>
      </c>
      <c r="M3290" t="b">
        <v>1</v>
      </c>
      <c r="N3290" t="s">
        <v>6415</v>
      </c>
      <c r="O3290" t="str">
        <f>"658.4063"</f>
        <v>658.4063</v>
      </c>
      <c r="P3290" t="s">
        <v>4756</v>
      </c>
      <c r="Q3290" t="b">
        <v>0</v>
      </c>
      <c r="T3290" t="str">
        <f>"9780310529491"</f>
        <v>9780310529491</v>
      </c>
      <c r="U3290" t="b">
        <v>0</v>
      </c>
      <c r="W3290" t="b">
        <v>0</v>
      </c>
    </row>
    <row r="3291" spans="1:23" x14ac:dyDescent="0.3">
      <c r="A3291">
        <v>1948509</v>
      </c>
      <c r="B3291">
        <v>148.32</v>
      </c>
      <c r="C3291" t="s">
        <v>7795</v>
      </c>
      <c r="D3291" t="s">
        <v>7796</v>
      </c>
      <c r="E3291" t="s">
        <v>49</v>
      </c>
      <c r="F3291" t="s">
        <v>106</v>
      </c>
      <c r="G3291">
        <v>2017</v>
      </c>
      <c r="H3291" t="s">
        <v>3415</v>
      </c>
      <c r="I3291" t="s">
        <v>7797</v>
      </c>
      <c r="K3291" t="s">
        <v>25</v>
      </c>
      <c r="L3291" t="s">
        <v>26</v>
      </c>
      <c r="M3291" t="b">
        <v>1</v>
      </c>
      <c r="N3291" t="s">
        <v>7798</v>
      </c>
      <c r="O3291" t="str">
        <f>"220.9/3"</f>
        <v>220.9/3</v>
      </c>
      <c r="Q3291" t="b">
        <v>0</v>
      </c>
      <c r="S3291" t="str">
        <f>"9780310286912"</f>
        <v>9780310286912</v>
      </c>
      <c r="T3291" t="str">
        <f>"9780310527640"</f>
        <v>9780310527640</v>
      </c>
      <c r="U3291" t="b">
        <v>0</v>
      </c>
      <c r="W3291" t="b">
        <v>0</v>
      </c>
    </row>
    <row r="3292" spans="1:23" x14ac:dyDescent="0.3">
      <c r="A3292">
        <v>1948508</v>
      </c>
      <c r="B3292">
        <v>58.62</v>
      </c>
      <c r="C3292" t="s">
        <v>7799</v>
      </c>
      <c r="D3292" t="s">
        <v>7800</v>
      </c>
      <c r="E3292" t="s">
        <v>49</v>
      </c>
      <c r="F3292" t="s">
        <v>44</v>
      </c>
      <c r="G3292">
        <v>2017</v>
      </c>
      <c r="H3292" t="s">
        <v>1122</v>
      </c>
      <c r="I3292" t="s">
        <v>5779</v>
      </c>
      <c r="J3292" t="s">
        <v>6735</v>
      </c>
      <c r="K3292" t="s">
        <v>25</v>
      </c>
      <c r="L3292" t="s">
        <v>26</v>
      </c>
      <c r="M3292" t="b">
        <v>1</v>
      </c>
      <c r="N3292" t="s">
        <v>7801</v>
      </c>
      <c r="O3292" t="str">
        <f>"253"</f>
        <v>253</v>
      </c>
      <c r="Q3292" t="b">
        <v>0</v>
      </c>
      <c r="S3292" t="str">
        <f>"9780310525271"</f>
        <v>9780310525271</v>
      </c>
      <c r="T3292" t="str">
        <f>"9780310525288"</f>
        <v>9780310525288</v>
      </c>
      <c r="U3292" t="b">
        <v>0</v>
      </c>
      <c r="W3292" t="b">
        <v>0</v>
      </c>
    </row>
    <row r="3293" spans="1:23" x14ac:dyDescent="0.3">
      <c r="A3293">
        <v>1948507</v>
      </c>
      <c r="B3293">
        <v>55.17</v>
      </c>
      <c r="C3293" t="s">
        <v>7802</v>
      </c>
      <c r="D3293" t="s">
        <v>7803</v>
      </c>
      <c r="E3293" t="s">
        <v>23</v>
      </c>
      <c r="F3293" t="s">
        <v>44</v>
      </c>
      <c r="G3293">
        <v>2016</v>
      </c>
      <c r="H3293" t="s">
        <v>751</v>
      </c>
      <c r="K3293" t="s">
        <v>25</v>
      </c>
      <c r="L3293" t="s">
        <v>26</v>
      </c>
      <c r="M3293" t="b">
        <v>1</v>
      </c>
      <c r="N3293" t="s">
        <v>7804</v>
      </c>
      <c r="Q3293" t="b">
        <v>0</v>
      </c>
      <c r="S3293" t="str">
        <f>"9780310525226"</f>
        <v>9780310525226</v>
      </c>
      <c r="T3293" t="str">
        <f>"9780310525233"</f>
        <v>9780310525233</v>
      </c>
      <c r="U3293" t="b">
        <v>0</v>
      </c>
      <c r="W3293" t="b">
        <v>0</v>
      </c>
    </row>
    <row r="3294" spans="1:23" x14ac:dyDescent="0.3">
      <c r="A3294">
        <v>1948506</v>
      </c>
      <c r="B3294">
        <v>65.52</v>
      </c>
      <c r="C3294" t="s">
        <v>7805</v>
      </c>
      <c r="D3294" t="s">
        <v>7806</v>
      </c>
      <c r="E3294" t="s">
        <v>49</v>
      </c>
      <c r="F3294" t="s">
        <v>44</v>
      </c>
      <c r="G3294">
        <v>2016</v>
      </c>
      <c r="H3294" t="s">
        <v>2322</v>
      </c>
      <c r="K3294" t="s">
        <v>25</v>
      </c>
      <c r="L3294" t="s">
        <v>26</v>
      </c>
      <c r="M3294" t="b">
        <v>1</v>
      </c>
      <c r="N3294" t="s">
        <v>7807</v>
      </c>
      <c r="Q3294" t="b">
        <v>0</v>
      </c>
      <c r="S3294" t="str">
        <f>"9780310522966"</f>
        <v>9780310522966</v>
      </c>
      <c r="T3294" t="str">
        <f>"9780310522973"</f>
        <v>9780310522973</v>
      </c>
      <c r="U3294" t="b">
        <v>0</v>
      </c>
      <c r="W3294" t="b">
        <v>0</v>
      </c>
    </row>
    <row r="3295" spans="1:23" x14ac:dyDescent="0.3">
      <c r="A3295">
        <v>1948505</v>
      </c>
      <c r="B3295">
        <v>68.97</v>
      </c>
      <c r="C3295" t="s">
        <v>7808</v>
      </c>
      <c r="D3295" t="s">
        <v>7809</v>
      </c>
      <c r="E3295" t="s">
        <v>49</v>
      </c>
      <c r="F3295" t="s">
        <v>44</v>
      </c>
      <c r="G3295">
        <v>2016</v>
      </c>
      <c r="H3295" t="s">
        <v>6402</v>
      </c>
      <c r="I3295" t="s">
        <v>7810</v>
      </c>
      <c r="J3295" t="s">
        <v>7811</v>
      </c>
      <c r="K3295" t="s">
        <v>25</v>
      </c>
      <c r="L3295" t="s">
        <v>26</v>
      </c>
      <c r="M3295" t="b">
        <v>1</v>
      </c>
      <c r="N3295" t="s">
        <v>6745</v>
      </c>
      <c r="O3295" t="str">
        <f>"261.2/7"</f>
        <v>261.2/7</v>
      </c>
      <c r="Q3295" t="b">
        <v>0</v>
      </c>
      <c r="S3295" t="str">
        <f>"9780310522553"</f>
        <v>9780310522553</v>
      </c>
      <c r="T3295" t="str">
        <f>"9780310522560"</f>
        <v>9780310522560</v>
      </c>
      <c r="U3295" t="b">
        <v>0</v>
      </c>
      <c r="W3295" t="b">
        <v>0</v>
      </c>
    </row>
    <row r="3296" spans="1:23" x14ac:dyDescent="0.3">
      <c r="A3296">
        <v>1948504</v>
      </c>
      <c r="B3296">
        <v>58.62</v>
      </c>
      <c r="C3296" t="s">
        <v>7812</v>
      </c>
      <c r="D3296" t="s">
        <v>7813</v>
      </c>
      <c r="E3296" t="s">
        <v>23</v>
      </c>
      <c r="F3296" t="s">
        <v>44</v>
      </c>
      <c r="G3296">
        <v>2016</v>
      </c>
      <c r="H3296" t="s">
        <v>107</v>
      </c>
      <c r="K3296" t="s">
        <v>25</v>
      </c>
      <c r="L3296" t="s">
        <v>26</v>
      </c>
      <c r="M3296" t="b">
        <v>1</v>
      </c>
      <c r="N3296" t="s">
        <v>7814</v>
      </c>
      <c r="Q3296" t="b">
        <v>0</v>
      </c>
      <c r="S3296" t="str">
        <f>"9780310522379"</f>
        <v>9780310522379</v>
      </c>
      <c r="T3296" t="str">
        <f>"9780310522386"</f>
        <v>9780310522386</v>
      </c>
      <c r="U3296" t="b">
        <v>0</v>
      </c>
      <c r="W3296" t="b">
        <v>0</v>
      </c>
    </row>
    <row r="3297" spans="1:23" x14ac:dyDescent="0.3">
      <c r="A3297">
        <v>1948503</v>
      </c>
      <c r="B3297">
        <v>86.22</v>
      </c>
      <c r="C3297" t="s">
        <v>7815</v>
      </c>
      <c r="D3297" t="s">
        <v>7816</v>
      </c>
      <c r="E3297" t="s">
        <v>23</v>
      </c>
      <c r="F3297" t="s">
        <v>44</v>
      </c>
      <c r="G3297">
        <v>2016</v>
      </c>
      <c r="H3297" t="s">
        <v>6398</v>
      </c>
      <c r="K3297" t="s">
        <v>25</v>
      </c>
      <c r="L3297" t="s">
        <v>26</v>
      </c>
      <c r="M3297" t="b">
        <v>1</v>
      </c>
      <c r="N3297" t="s">
        <v>6588</v>
      </c>
      <c r="Q3297" t="b">
        <v>0</v>
      </c>
      <c r="S3297" t="str">
        <f>"9780310520887"</f>
        <v>9780310520887</v>
      </c>
      <c r="T3297" t="str">
        <f>"9780310520894"</f>
        <v>9780310520894</v>
      </c>
      <c r="U3297" t="b">
        <v>0</v>
      </c>
      <c r="W3297" t="b">
        <v>0</v>
      </c>
    </row>
    <row r="3298" spans="1:23" x14ac:dyDescent="0.3">
      <c r="A3298">
        <v>1948502</v>
      </c>
      <c r="B3298">
        <v>65.52</v>
      </c>
      <c r="C3298" t="s">
        <v>7817</v>
      </c>
      <c r="D3298" t="s">
        <v>7818</v>
      </c>
      <c r="E3298" t="s">
        <v>49</v>
      </c>
      <c r="F3298" t="s">
        <v>44</v>
      </c>
      <c r="G3298">
        <v>2017</v>
      </c>
      <c r="H3298" t="s">
        <v>705</v>
      </c>
      <c r="I3298" t="s">
        <v>6738</v>
      </c>
      <c r="J3298" t="s">
        <v>895</v>
      </c>
      <c r="K3298" t="s">
        <v>25</v>
      </c>
      <c r="L3298" t="s">
        <v>26</v>
      </c>
      <c r="M3298" t="b">
        <v>1</v>
      </c>
      <c r="N3298" t="s">
        <v>7819</v>
      </c>
      <c r="O3298" t="str">
        <f>"259.22"</f>
        <v>259.22</v>
      </c>
      <c r="Q3298" t="b">
        <v>0</v>
      </c>
      <c r="S3298" t="str">
        <f>"9780310523017"</f>
        <v>9780310523017</v>
      </c>
      <c r="T3298" t="str">
        <f>"9780310523024"</f>
        <v>9780310523024</v>
      </c>
      <c r="U3298" t="b">
        <v>0</v>
      </c>
      <c r="W3298" t="b">
        <v>0</v>
      </c>
    </row>
    <row r="3299" spans="1:23" x14ac:dyDescent="0.3">
      <c r="A3299">
        <v>1948501</v>
      </c>
      <c r="B3299">
        <v>58.62</v>
      </c>
      <c r="C3299" t="s">
        <v>7820</v>
      </c>
      <c r="D3299" t="s">
        <v>7821</v>
      </c>
      <c r="E3299" t="s">
        <v>49</v>
      </c>
      <c r="F3299" t="s">
        <v>106</v>
      </c>
      <c r="G3299">
        <v>2016</v>
      </c>
      <c r="H3299" t="s">
        <v>1261</v>
      </c>
      <c r="I3299" t="s">
        <v>6451</v>
      </c>
      <c r="J3299" t="s">
        <v>6452</v>
      </c>
      <c r="K3299" t="s">
        <v>25</v>
      </c>
      <c r="L3299" t="s">
        <v>26</v>
      </c>
      <c r="M3299" t="b">
        <v>1</v>
      </c>
      <c r="N3299" t="s">
        <v>6880</v>
      </c>
      <c r="O3299" t="str">
        <f>"241"</f>
        <v>241</v>
      </c>
      <c r="Q3299" t="b">
        <v>0</v>
      </c>
      <c r="S3299" t="str">
        <f>"9780310521181"</f>
        <v>9780310521181</v>
      </c>
      <c r="T3299" t="str">
        <f>"9780310521198"</f>
        <v>9780310521198</v>
      </c>
      <c r="U3299" t="b">
        <v>0</v>
      </c>
      <c r="W3299" t="b">
        <v>0</v>
      </c>
    </row>
    <row r="3300" spans="1:23" x14ac:dyDescent="0.3">
      <c r="A3300">
        <v>1948500</v>
      </c>
      <c r="B3300">
        <v>68.97</v>
      </c>
      <c r="C3300" t="s">
        <v>7822</v>
      </c>
      <c r="E3300" t="s">
        <v>49</v>
      </c>
      <c r="F3300" t="s">
        <v>106</v>
      </c>
      <c r="G3300">
        <v>2016</v>
      </c>
      <c r="H3300" t="s">
        <v>1187</v>
      </c>
      <c r="I3300" t="s">
        <v>7823</v>
      </c>
      <c r="J3300" t="s">
        <v>7824</v>
      </c>
      <c r="K3300" t="s">
        <v>25</v>
      </c>
      <c r="L3300" t="s">
        <v>26</v>
      </c>
      <c r="M3300" t="b">
        <v>1</v>
      </c>
      <c r="N3300" t="s">
        <v>44</v>
      </c>
      <c r="O3300" t="str">
        <f>"261.5/1"</f>
        <v>261.5/1</v>
      </c>
      <c r="P3300" t="s">
        <v>925</v>
      </c>
      <c r="Q3300" t="b">
        <v>0</v>
      </c>
      <c r="S3300" t="str">
        <f>"9780310521143"</f>
        <v>9780310521143</v>
      </c>
      <c r="T3300" t="str">
        <f>"9780310521150"</f>
        <v>9780310521150</v>
      </c>
      <c r="U3300" t="b">
        <v>0</v>
      </c>
      <c r="W3300" t="b">
        <v>0</v>
      </c>
    </row>
    <row r="3301" spans="1:23" x14ac:dyDescent="0.3">
      <c r="A3301">
        <v>1948499</v>
      </c>
      <c r="B3301">
        <v>172.47</v>
      </c>
      <c r="C3301" t="s">
        <v>7825</v>
      </c>
      <c r="E3301" t="s">
        <v>49</v>
      </c>
      <c r="F3301" t="s">
        <v>106</v>
      </c>
      <c r="G3301">
        <v>2018</v>
      </c>
      <c r="H3301" t="s">
        <v>927</v>
      </c>
      <c r="I3301" t="s">
        <v>7826</v>
      </c>
      <c r="K3301" t="s">
        <v>25</v>
      </c>
      <c r="L3301" t="s">
        <v>26</v>
      </c>
      <c r="M3301" t="b">
        <v>1</v>
      </c>
      <c r="N3301" t="s">
        <v>44</v>
      </c>
      <c r="O3301" t="str">
        <f>"222.52"</f>
        <v>222.52</v>
      </c>
      <c r="P3301" t="s">
        <v>6546</v>
      </c>
      <c r="Q3301" t="b">
        <v>0</v>
      </c>
      <c r="S3301" t="str">
        <f>"9780310522331"</f>
        <v>9780310522331</v>
      </c>
      <c r="T3301" t="str">
        <f>"9780310588726"</f>
        <v>9780310588726</v>
      </c>
      <c r="U3301" t="b">
        <v>0</v>
      </c>
      <c r="W3301" t="b">
        <v>0</v>
      </c>
    </row>
    <row r="3302" spans="1:23" x14ac:dyDescent="0.3">
      <c r="A3302">
        <v>1948498</v>
      </c>
      <c r="B3302">
        <v>182.82</v>
      </c>
      <c r="C3302" t="s">
        <v>7827</v>
      </c>
      <c r="D3302" t="s">
        <v>2316</v>
      </c>
      <c r="E3302" t="s">
        <v>49</v>
      </c>
      <c r="F3302" t="s">
        <v>106</v>
      </c>
      <c r="G3302">
        <v>2018</v>
      </c>
      <c r="H3302" t="s">
        <v>1181</v>
      </c>
      <c r="I3302" t="s">
        <v>7828</v>
      </c>
      <c r="K3302" t="s">
        <v>25</v>
      </c>
      <c r="L3302" t="s">
        <v>26</v>
      </c>
      <c r="M3302" t="b">
        <v>1</v>
      </c>
      <c r="N3302" t="s">
        <v>6319</v>
      </c>
      <c r="O3302" t="str">
        <f>"224.1077"</f>
        <v>224.1077</v>
      </c>
      <c r="P3302" t="s">
        <v>6546</v>
      </c>
      <c r="Q3302" t="b">
        <v>0</v>
      </c>
      <c r="S3302" t="str">
        <f>"9780310522324"</f>
        <v>9780310522324</v>
      </c>
      <c r="T3302" t="str">
        <f>"9780310588573"</f>
        <v>9780310588573</v>
      </c>
      <c r="U3302" t="b">
        <v>0</v>
      </c>
      <c r="V3302" t="s">
        <v>940</v>
      </c>
      <c r="W3302" t="b">
        <v>0</v>
      </c>
    </row>
    <row r="3303" spans="1:23" x14ac:dyDescent="0.3">
      <c r="A3303">
        <v>1948497</v>
      </c>
      <c r="B3303">
        <v>120.72</v>
      </c>
      <c r="C3303" t="s">
        <v>7829</v>
      </c>
      <c r="E3303" t="s">
        <v>49</v>
      </c>
      <c r="F3303" t="s">
        <v>106</v>
      </c>
      <c r="G3303">
        <v>2018</v>
      </c>
      <c r="H3303" t="s">
        <v>927</v>
      </c>
      <c r="I3303" t="s">
        <v>7830</v>
      </c>
      <c r="K3303" t="s">
        <v>25</v>
      </c>
      <c r="L3303" t="s">
        <v>26</v>
      </c>
      <c r="M3303" t="b">
        <v>1</v>
      </c>
      <c r="N3303" t="s">
        <v>7031</v>
      </c>
      <c r="O3303" t="str">
        <f>"223.807"</f>
        <v>223.807</v>
      </c>
      <c r="P3303" t="s">
        <v>6546</v>
      </c>
      <c r="Q3303" t="b">
        <v>0</v>
      </c>
      <c r="S3303" t="str">
        <f>"9780310522287"</f>
        <v>9780310522287</v>
      </c>
      <c r="T3303" t="str">
        <f>"9780310588672"</f>
        <v>9780310588672</v>
      </c>
      <c r="U3303" t="b">
        <v>0</v>
      </c>
      <c r="W3303" t="b">
        <v>0</v>
      </c>
    </row>
    <row r="3304" spans="1:23" x14ac:dyDescent="0.3">
      <c r="A3304">
        <v>1948496</v>
      </c>
      <c r="B3304">
        <v>155.22</v>
      </c>
      <c r="C3304" t="s">
        <v>7831</v>
      </c>
      <c r="E3304" t="s">
        <v>49</v>
      </c>
      <c r="F3304" t="s">
        <v>106</v>
      </c>
      <c r="G3304">
        <v>2018</v>
      </c>
      <c r="H3304" t="s">
        <v>927</v>
      </c>
      <c r="I3304" t="s">
        <v>7832</v>
      </c>
      <c r="K3304" t="s">
        <v>25</v>
      </c>
      <c r="L3304" t="s">
        <v>26</v>
      </c>
      <c r="M3304" t="b">
        <v>1</v>
      </c>
      <c r="N3304" t="s">
        <v>7833</v>
      </c>
      <c r="O3304" t="str">
        <f>"222.407"</f>
        <v>222.407</v>
      </c>
      <c r="P3304" t="s">
        <v>6546</v>
      </c>
      <c r="Q3304" t="b">
        <v>0</v>
      </c>
      <c r="S3304" t="str">
        <f>"9780310522225"</f>
        <v>9780310522225</v>
      </c>
      <c r="T3304" t="str">
        <f>"9780310588689"</f>
        <v>9780310588689</v>
      </c>
      <c r="U3304" t="b">
        <v>0</v>
      </c>
      <c r="W3304" t="b">
        <v>0</v>
      </c>
    </row>
    <row r="3305" spans="1:23" x14ac:dyDescent="0.3">
      <c r="A3305">
        <v>1948495</v>
      </c>
      <c r="B3305">
        <v>155.22</v>
      </c>
      <c r="C3305" t="s">
        <v>7834</v>
      </c>
      <c r="E3305" t="s">
        <v>49</v>
      </c>
      <c r="F3305" t="s">
        <v>106</v>
      </c>
      <c r="G3305">
        <v>1994</v>
      </c>
      <c r="H3305" t="s">
        <v>5755</v>
      </c>
      <c r="I3305" t="s">
        <v>7835</v>
      </c>
      <c r="K3305" t="s">
        <v>25</v>
      </c>
      <c r="L3305" t="s">
        <v>26</v>
      </c>
      <c r="M3305" t="b">
        <v>1</v>
      </c>
      <c r="N3305" t="s">
        <v>6247</v>
      </c>
      <c r="O3305" t="str">
        <f>"224.4077"</f>
        <v>224.4077</v>
      </c>
      <c r="P3305" t="s">
        <v>6546</v>
      </c>
      <c r="Q3305" t="b">
        <v>0</v>
      </c>
      <c r="S3305" t="str">
        <f>"9780310522157"</f>
        <v>9780310522157</v>
      </c>
      <c r="T3305" t="str">
        <f>"9780310588641"</f>
        <v>9780310588641</v>
      </c>
      <c r="U3305" t="b">
        <v>0</v>
      </c>
      <c r="W3305" t="b">
        <v>0</v>
      </c>
    </row>
    <row r="3306" spans="1:23" x14ac:dyDescent="0.3">
      <c r="A3306">
        <v>1948494</v>
      </c>
      <c r="B3306">
        <v>120.72</v>
      </c>
      <c r="C3306" t="s">
        <v>7836</v>
      </c>
      <c r="E3306" t="s">
        <v>49</v>
      </c>
      <c r="F3306" t="s">
        <v>106</v>
      </c>
      <c r="G3306">
        <v>1990</v>
      </c>
      <c r="H3306" t="s">
        <v>927</v>
      </c>
      <c r="I3306" t="s">
        <v>7837</v>
      </c>
      <c r="K3306" t="s">
        <v>25</v>
      </c>
      <c r="L3306" t="s">
        <v>26</v>
      </c>
      <c r="M3306" t="b">
        <v>1</v>
      </c>
      <c r="N3306" t="s">
        <v>6247</v>
      </c>
      <c r="O3306" t="str">
        <f>"220.7"</f>
        <v>220.7</v>
      </c>
      <c r="P3306" t="s">
        <v>6546</v>
      </c>
      <c r="Q3306" t="b">
        <v>0</v>
      </c>
      <c r="S3306" t="str">
        <f>"9780310522140"</f>
        <v>9780310522140</v>
      </c>
      <c r="T3306" t="str">
        <f>"9780310588665"</f>
        <v>9780310588665</v>
      </c>
      <c r="U3306" t="b">
        <v>0</v>
      </c>
      <c r="W3306" t="b">
        <v>0</v>
      </c>
    </row>
    <row r="3307" spans="1:23" x14ac:dyDescent="0.3">
      <c r="A3307">
        <v>1948493</v>
      </c>
      <c r="B3307">
        <v>155.22</v>
      </c>
      <c r="C3307" t="s">
        <v>7838</v>
      </c>
      <c r="E3307" t="s">
        <v>49</v>
      </c>
      <c r="F3307" t="s">
        <v>106</v>
      </c>
      <c r="G3307">
        <v>2018</v>
      </c>
      <c r="H3307" t="s">
        <v>927</v>
      </c>
      <c r="I3307" t="s">
        <v>6540</v>
      </c>
      <c r="K3307" t="s">
        <v>25</v>
      </c>
      <c r="L3307" t="s">
        <v>26</v>
      </c>
      <c r="M3307" t="b">
        <v>1</v>
      </c>
      <c r="N3307" t="s">
        <v>6315</v>
      </c>
      <c r="O3307" t="str">
        <f>"222.63/077"</f>
        <v>222.63/077</v>
      </c>
      <c r="P3307" t="s">
        <v>6546</v>
      </c>
      <c r="Q3307" t="b">
        <v>0</v>
      </c>
      <c r="S3307" t="str">
        <f>"9780310522188"</f>
        <v>9780310522188</v>
      </c>
      <c r="T3307" t="str">
        <f>"9780310588658"</f>
        <v>9780310588658</v>
      </c>
      <c r="U3307" t="b">
        <v>0</v>
      </c>
      <c r="W3307" t="b">
        <v>0</v>
      </c>
    </row>
    <row r="3308" spans="1:23" x14ac:dyDescent="0.3">
      <c r="A3308">
        <v>1948492</v>
      </c>
      <c r="B3308">
        <v>155.22</v>
      </c>
      <c r="C3308" t="s">
        <v>7839</v>
      </c>
      <c r="D3308" t="s">
        <v>2316</v>
      </c>
      <c r="E3308" t="s">
        <v>49</v>
      </c>
      <c r="F3308" t="s">
        <v>106</v>
      </c>
      <c r="G3308">
        <v>2002</v>
      </c>
      <c r="H3308" t="s">
        <v>927</v>
      </c>
      <c r="I3308" t="s">
        <v>7840</v>
      </c>
      <c r="K3308" t="s">
        <v>25</v>
      </c>
      <c r="L3308" t="s">
        <v>26</v>
      </c>
      <c r="M3308" t="b">
        <v>1</v>
      </c>
      <c r="N3308" t="s">
        <v>6247</v>
      </c>
      <c r="O3308" t="str">
        <f>"223.2077"</f>
        <v>223.2077</v>
      </c>
      <c r="P3308" t="s">
        <v>6546</v>
      </c>
      <c r="Q3308" t="b">
        <v>0</v>
      </c>
      <c r="S3308" t="str">
        <f>"9780310136644"</f>
        <v>9780310136644</v>
      </c>
      <c r="T3308" t="str">
        <f>"9780310588443"</f>
        <v>9780310588443</v>
      </c>
      <c r="U3308" t="b">
        <v>0</v>
      </c>
      <c r="V3308" t="s">
        <v>7841</v>
      </c>
      <c r="W3308" t="b">
        <v>0</v>
      </c>
    </row>
    <row r="3309" spans="1:23" x14ac:dyDescent="0.3">
      <c r="A3309">
        <v>1948491</v>
      </c>
      <c r="B3309">
        <v>182.82</v>
      </c>
      <c r="C3309" t="s">
        <v>7842</v>
      </c>
      <c r="E3309" t="s">
        <v>49</v>
      </c>
      <c r="F3309" t="s">
        <v>106</v>
      </c>
      <c r="G3309">
        <v>2018</v>
      </c>
      <c r="H3309" t="s">
        <v>6356</v>
      </c>
      <c r="I3309" t="s">
        <v>7843</v>
      </c>
      <c r="K3309" t="s">
        <v>25</v>
      </c>
      <c r="L3309" t="s">
        <v>26</v>
      </c>
      <c r="M3309" t="b">
        <v>1</v>
      </c>
      <c r="N3309" t="s">
        <v>7844</v>
      </c>
      <c r="O3309" t="str">
        <f>"220.7"</f>
        <v>220.7</v>
      </c>
      <c r="P3309" t="s">
        <v>7845</v>
      </c>
      <c r="Q3309" t="b">
        <v>0</v>
      </c>
      <c r="S3309" t="str">
        <f>"9780310522126"</f>
        <v>9780310522126</v>
      </c>
      <c r="T3309" t="str">
        <f>"9780310588481"</f>
        <v>9780310588481</v>
      </c>
      <c r="U3309" t="b">
        <v>0</v>
      </c>
      <c r="W3309" t="b">
        <v>0</v>
      </c>
    </row>
    <row r="3310" spans="1:23" x14ac:dyDescent="0.3">
      <c r="A3310">
        <v>1948490</v>
      </c>
      <c r="B3310">
        <v>182.82</v>
      </c>
      <c r="C3310" t="s">
        <v>7846</v>
      </c>
      <c r="E3310" t="s">
        <v>49</v>
      </c>
      <c r="F3310" t="s">
        <v>106</v>
      </c>
      <c r="G3310">
        <v>2018</v>
      </c>
      <c r="H3310" t="s">
        <v>57</v>
      </c>
      <c r="I3310" t="s">
        <v>7847</v>
      </c>
      <c r="K3310" t="s">
        <v>25</v>
      </c>
      <c r="L3310" t="s">
        <v>26</v>
      </c>
      <c r="M3310" t="b">
        <v>1</v>
      </c>
      <c r="N3310" t="s">
        <v>7617</v>
      </c>
      <c r="O3310" t="str">
        <f>"226.2077"</f>
        <v>226.2077</v>
      </c>
      <c r="P3310" t="s">
        <v>6546</v>
      </c>
      <c r="Q3310" t="b">
        <v>0</v>
      </c>
      <c r="S3310" t="str">
        <f>"9780310522119"</f>
        <v>9780310522119</v>
      </c>
      <c r="T3310" t="str">
        <f>"9780310588450"</f>
        <v>9780310588450</v>
      </c>
      <c r="U3310" t="b">
        <v>0</v>
      </c>
      <c r="W3310" t="b">
        <v>0</v>
      </c>
    </row>
    <row r="3311" spans="1:23" x14ac:dyDescent="0.3">
      <c r="A3311">
        <v>1948489</v>
      </c>
      <c r="B3311">
        <v>155.22</v>
      </c>
      <c r="C3311" t="s">
        <v>7848</v>
      </c>
      <c r="D3311" t="s">
        <v>2316</v>
      </c>
      <c r="E3311" t="s">
        <v>49</v>
      </c>
      <c r="F3311" t="s">
        <v>106</v>
      </c>
      <c r="G3311">
        <v>2005</v>
      </c>
      <c r="H3311" t="s">
        <v>927</v>
      </c>
      <c r="I3311" t="s">
        <v>7849</v>
      </c>
      <c r="J3311" t="s">
        <v>7850</v>
      </c>
      <c r="K3311" t="s">
        <v>25</v>
      </c>
      <c r="L3311" t="s">
        <v>26</v>
      </c>
      <c r="M3311" t="b">
        <v>1</v>
      </c>
      <c r="N3311" t="s">
        <v>6319</v>
      </c>
      <c r="O3311" t="str">
        <f>"224.1077"</f>
        <v>224.1077</v>
      </c>
      <c r="P3311" t="s">
        <v>6546</v>
      </c>
      <c r="Q3311" t="b">
        <v>0</v>
      </c>
      <c r="S3311" t="str">
        <f>"9780310136651"</f>
        <v>9780310136651</v>
      </c>
      <c r="T3311" t="str">
        <f>"9780310588528"</f>
        <v>9780310588528</v>
      </c>
      <c r="U3311" t="b">
        <v>0</v>
      </c>
      <c r="V3311" t="s">
        <v>940</v>
      </c>
      <c r="W3311" t="b">
        <v>0</v>
      </c>
    </row>
    <row r="3312" spans="1:23" x14ac:dyDescent="0.3">
      <c r="A3312">
        <v>1948488</v>
      </c>
      <c r="B3312">
        <v>58.62</v>
      </c>
      <c r="C3312" t="s">
        <v>7851</v>
      </c>
      <c r="D3312" t="s">
        <v>7852</v>
      </c>
      <c r="E3312" t="s">
        <v>49</v>
      </c>
      <c r="F3312" t="s">
        <v>44</v>
      </c>
      <c r="G3312">
        <v>2016</v>
      </c>
      <c r="H3312" t="s">
        <v>1122</v>
      </c>
      <c r="K3312" t="s">
        <v>25</v>
      </c>
      <c r="L3312" t="s">
        <v>26</v>
      </c>
      <c r="M3312" t="b">
        <v>1</v>
      </c>
      <c r="N3312" t="s">
        <v>1026</v>
      </c>
      <c r="Q3312" t="b">
        <v>0</v>
      </c>
      <c r="S3312" t="str">
        <f>"9780310525066"</f>
        <v>9780310525066</v>
      </c>
      <c r="T3312" t="str">
        <f>"9780310525073"</f>
        <v>9780310525073</v>
      </c>
      <c r="U3312" t="b">
        <v>0</v>
      </c>
      <c r="W3312" t="b">
        <v>0</v>
      </c>
    </row>
    <row r="3313" spans="1:23" x14ac:dyDescent="0.3">
      <c r="A3313">
        <v>1948487</v>
      </c>
      <c r="B3313">
        <v>51.72</v>
      </c>
      <c r="C3313" t="s">
        <v>7853</v>
      </c>
      <c r="D3313" t="s">
        <v>7854</v>
      </c>
      <c r="E3313" t="s">
        <v>49</v>
      </c>
      <c r="F3313" t="s">
        <v>44</v>
      </c>
      <c r="G3313">
        <v>2016</v>
      </c>
      <c r="H3313" t="s">
        <v>5848</v>
      </c>
      <c r="K3313" t="s">
        <v>25</v>
      </c>
      <c r="L3313" t="s">
        <v>26</v>
      </c>
      <c r="M3313" t="b">
        <v>1</v>
      </c>
      <c r="N3313" t="s">
        <v>7855</v>
      </c>
      <c r="Q3313" t="b">
        <v>0</v>
      </c>
      <c r="S3313" t="str">
        <f>"9780310525004"</f>
        <v>9780310525004</v>
      </c>
      <c r="T3313" t="str">
        <f>"9780310525028"</f>
        <v>9780310525028</v>
      </c>
      <c r="U3313" t="b">
        <v>0</v>
      </c>
      <c r="W3313" t="b">
        <v>0</v>
      </c>
    </row>
    <row r="3314" spans="1:23" x14ac:dyDescent="0.3">
      <c r="A3314">
        <v>1948486</v>
      </c>
      <c r="B3314">
        <v>65.52</v>
      </c>
      <c r="C3314" t="s">
        <v>7856</v>
      </c>
      <c r="E3314" t="s">
        <v>49</v>
      </c>
      <c r="F3314" t="s">
        <v>106</v>
      </c>
      <c r="G3314">
        <v>2016</v>
      </c>
      <c r="H3314" t="s">
        <v>1181</v>
      </c>
      <c r="I3314" t="s">
        <v>7857</v>
      </c>
      <c r="J3314" t="s">
        <v>6985</v>
      </c>
      <c r="K3314" t="s">
        <v>25</v>
      </c>
      <c r="L3314" t="s">
        <v>26</v>
      </c>
      <c r="M3314" t="b">
        <v>1</v>
      </c>
      <c r="N3314" t="s">
        <v>6507</v>
      </c>
      <c r="O3314" t="str">
        <f>"221.071"</f>
        <v>221.071</v>
      </c>
      <c r="Q3314" t="b">
        <v>0</v>
      </c>
      <c r="S3314" t="str">
        <f>"9780310524649"</f>
        <v>9780310524649</v>
      </c>
      <c r="T3314" t="str">
        <f>"9780310524656"</f>
        <v>9780310524656</v>
      </c>
      <c r="U3314" t="b">
        <v>0</v>
      </c>
      <c r="W3314" t="b">
        <v>0</v>
      </c>
    </row>
    <row r="3315" spans="1:23" x14ac:dyDescent="0.3">
      <c r="A3315">
        <v>1948485</v>
      </c>
      <c r="B3315">
        <v>58.62</v>
      </c>
      <c r="C3315" t="s">
        <v>7858</v>
      </c>
      <c r="D3315" t="s">
        <v>7859</v>
      </c>
      <c r="E3315" t="s">
        <v>49</v>
      </c>
      <c r="F3315" t="s">
        <v>44</v>
      </c>
      <c r="G3315">
        <v>2016</v>
      </c>
      <c r="H3315" t="s">
        <v>99</v>
      </c>
      <c r="K3315" t="s">
        <v>25</v>
      </c>
      <c r="L3315" t="s">
        <v>26</v>
      </c>
      <c r="M3315" t="b">
        <v>1</v>
      </c>
      <c r="N3315" t="s">
        <v>7860</v>
      </c>
      <c r="Q3315" t="b">
        <v>0</v>
      </c>
      <c r="S3315" t="str">
        <f>"9780310524250"</f>
        <v>9780310524250</v>
      </c>
      <c r="T3315" t="str">
        <f>"9780310524267"</f>
        <v>9780310524267</v>
      </c>
      <c r="U3315" t="b">
        <v>0</v>
      </c>
      <c r="W3315" t="b">
        <v>0</v>
      </c>
    </row>
    <row r="3316" spans="1:23" x14ac:dyDescent="0.3">
      <c r="A3316">
        <v>1948484</v>
      </c>
      <c r="B3316">
        <v>65.52</v>
      </c>
      <c r="C3316" t="s">
        <v>7861</v>
      </c>
      <c r="D3316" t="s">
        <v>7862</v>
      </c>
      <c r="E3316" t="s">
        <v>49</v>
      </c>
      <c r="F3316" t="s">
        <v>44</v>
      </c>
      <c r="G3316">
        <v>2016</v>
      </c>
      <c r="H3316" t="s">
        <v>50</v>
      </c>
      <c r="I3316" t="s">
        <v>7151</v>
      </c>
      <c r="J3316" t="s">
        <v>7863</v>
      </c>
      <c r="K3316" t="s">
        <v>25</v>
      </c>
      <c r="L3316" t="s">
        <v>26</v>
      </c>
      <c r="M3316" t="b">
        <v>1</v>
      </c>
      <c r="N3316" t="s">
        <v>5774</v>
      </c>
      <c r="O3316" t="str">
        <f>"259/.23"</f>
        <v>259/.23</v>
      </c>
      <c r="Q3316" t="b">
        <v>0</v>
      </c>
      <c r="S3316" t="str">
        <f>"9780310524205"</f>
        <v>9780310524205</v>
      </c>
      <c r="T3316" t="str">
        <f>"9780310524212"</f>
        <v>9780310524212</v>
      </c>
      <c r="U3316" t="b">
        <v>0</v>
      </c>
      <c r="W3316" t="b">
        <v>0</v>
      </c>
    </row>
    <row r="3317" spans="1:23" x14ac:dyDescent="0.3">
      <c r="A3317">
        <v>1948483</v>
      </c>
      <c r="B3317">
        <v>58.62</v>
      </c>
      <c r="C3317" t="s">
        <v>7864</v>
      </c>
      <c r="D3317" t="s">
        <v>7865</v>
      </c>
      <c r="E3317" t="s">
        <v>49</v>
      </c>
      <c r="F3317" t="s">
        <v>44</v>
      </c>
      <c r="G3317">
        <v>2016</v>
      </c>
      <c r="H3317" t="s">
        <v>705</v>
      </c>
      <c r="I3317" t="s">
        <v>6738</v>
      </c>
      <c r="J3317" t="s">
        <v>6739</v>
      </c>
      <c r="K3317" t="s">
        <v>25</v>
      </c>
      <c r="L3317" t="s">
        <v>26</v>
      </c>
      <c r="M3317" t="b">
        <v>1</v>
      </c>
      <c r="N3317" t="s">
        <v>7866</v>
      </c>
      <c r="O3317" t="str">
        <f>"259/.22"</f>
        <v>259/.22</v>
      </c>
      <c r="Q3317" t="b">
        <v>0</v>
      </c>
      <c r="S3317" t="str">
        <f>"9780310522676"</f>
        <v>9780310522676</v>
      </c>
      <c r="T3317" t="str">
        <f>"9780310522683"</f>
        <v>9780310522683</v>
      </c>
      <c r="U3317" t="b">
        <v>0</v>
      </c>
      <c r="W3317" t="b">
        <v>0</v>
      </c>
    </row>
    <row r="3318" spans="1:23" x14ac:dyDescent="0.3">
      <c r="A3318">
        <v>1948482</v>
      </c>
      <c r="B3318">
        <v>58.62</v>
      </c>
      <c r="C3318" t="s">
        <v>7867</v>
      </c>
      <c r="D3318" t="s">
        <v>7868</v>
      </c>
      <c r="E3318" t="s">
        <v>49</v>
      </c>
      <c r="F3318" t="s">
        <v>44</v>
      </c>
      <c r="G3318">
        <v>2016</v>
      </c>
      <c r="H3318" t="s">
        <v>1122</v>
      </c>
      <c r="I3318" t="s">
        <v>5779</v>
      </c>
      <c r="J3318" t="s">
        <v>7869</v>
      </c>
      <c r="K3318" t="s">
        <v>25</v>
      </c>
      <c r="L3318" t="s">
        <v>26</v>
      </c>
      <c r="M3318" t="b">
        <v>1</v>
      </c>
      <c r="N3318" t="s">
        <v>7870</v>
      </c>
      <c r="O3318" t="str">
        <f>"253"</f>
        <v>253</v>
      </c>
      <c r="Q3318" t="b">
        <v>0</v>
      </c>
      <c r="S3318" t="str">
        <f>"9780310522614"</f>
        <v>9780310522614</v>
      </c>
      <c r="T3318" t="str">
        <f>"9780310522645"</f>
        <v>9780310522645</v>
      </c>
      <c r="U3318" t="b">
        <v>0</v>
      </c>
      <c r="W3318" t="b">
        <v>0</v>
      </c>
    </row>
    <row r="3319" spans="1:23" x14ac:dyDescent="0.3">
      <c r="A3319">
        <v>1948481</v>
      </c>
      <c r="B3319">
        <v>58.62</v>
      </c>
      <c r="C3319" t="s">
        <v>7871</v>
      </c>
      <c r="D3319" t="s">
        <v>7872</v>
      </c>
      <c r="E3319" t="s">
        <v>49</v>
      </c>
      <c r="F3319" t="s">
        <v>44</v>
      </c>
      <c r="G3319">
        <v>2016</v>
      </c>
      <c r="H3319" t="s">
        <v>1122</v>
      </c>
      <c r="I3319" t="s">
        <v>7873</v>
      </c>
      <c r="J3319" t="s">
        <v>7874</v>
      </c>
      <c r="K3319" t="s">
        <v>25</v>
      </c>
      <c r="L3319" t="s">
        <v>26</v>
      </c>
      <c r="M3319" t="b">
        <v>1</v>
      </c>
      <c r="N3319" t="s">
        <v>7875</v>
      </c>
      <c r="O3319" t="str">
        <f>"253/.7"</f>
        <v>253/.7</v>
      </c>
      <c r="Q3319" t="b">
        <v>0</v>
      </c>
      <c r="S3319" t="str">
        <f>"9780310522355"</f>
        <v>9780310522355</v>
      </c>
      <c r="T3319" t="str">
        <f>"9780310522362"</f>
        <v>9780310522362</v>
      </c>
      <c r="U3319" t="b">
        <v>0</v>
      </c>
      <c r="W3319" t="b">
        <v>0</v>
      </c>
    </row>
    <row r="3320" spans="1:23" x14ac:dyDescent="0.3">
      <c r="A3320">
        <v>1948480</v>
      </c>
      <c r="B3320">
        <v>58.62</v>
      </c>
      <c r="C3320" t="s">
        <v>7876</v>
      </c>
      <c r="D3320" t="s">
        <v>7877</v>
      </c>
      <c r="E3320" t="s">
        <v>23</v>
      </c>
      <c r="F3320" t="s">
        <v>44</v>
      </c>
      <c r="G3320">
        <v>2016</v>
      </c>
      <c r="H3320" t="s">
        <v>58</v>
      </c>
      <c r="K3320" t="s">
        <v>25</v>
      </c>
      <c r="L3320" t="s">
        <v>26</v>
      </c>
      <c r="M3320" t="b">
        <v>1</v>
      </c>
      <c r="N3320" t="s">
        <v>7878</v>
      </c>
      <c r="Q3320" t="b">
        <v>0</v>
      </c>
      <c r="S3320" t="str">
        <f>"9780310518389"</f>
        <v>9780310518389</v>
      </c>
      <c r="T3320" t="str">
        <f>"9780310518396"</f>
        <v>9780310518396</v>
      </c>
      <c r="U3320" t="b">
        <v>0</v>
      </c>
      <c r="W3320" t="b">
        <v>0</v>
      </c>
    </row>
    <row r="3321" spans="1:23" x14ac:dyDescent="0.3">
      <c r="A3321">
        <v>1948479</v>
      </c>
      <c r="B3321">
        <v>96.57</v>
      </c>
      <c r="C3321" t="s">
        <v>7879</v>
      </c>
      <c r="D3321" t="s">
        <v>7880</v>
      </c>
      <c r="E3321" t="s">
        <v>49</v>
      </c>
      <c r="F3321" t="s">
        <v>106</v>
      </c>
      <c r="G3321">
        <v>2016</v>
      </c>
      <c r="H3321" t="s">
        <v>52</v>
      </c>
      <c r="I3321" t="s">
        <v>6884</v>
      </c>
      <c r="J3321" t="s">
        <v>7881</v>
      </c>
      <c r="K3321" t="s">
        <v>25</v>
      </c>
      <c r="L3321" t="s">
        <v>26</v>
      </c>
      <c r="M3321" t="b">
        <v>1</v>
      </c>
      <c r="N3321" t="s">
        <v>7882</v>
      </c>
      <c r="O3321" t="str">
        <f>"253.5"</f>
        <v>253.5</v>
      </c>
      <c r="Q3321" t="b">
        <v>0</v>
      </c>
      <c r="S3321" t="str">
        <f>"9780310518167"</f>
        <v>9780310518167</v>
      </c>
      <c r="T3321" t="str">
        <f>"9780310518174"</f>
        <v>9780310518174</v>
      </c>
      <c r="U3321" t="b">
        <v>0</v>
      </c>
      <c r="W3321" t="b">
        <v>0</v>
      </c>
    </row>
    <row r="3322" spans="1:23" x14ac:dyDescent="0.3">
      <c r="A3322">
        <v>1948478</v>
      </c>
      <c r="B3322">
        <v>58.62</v>
      </c>
      <c r="C3322" t="s">
        <v>7883</v>
      </c>
      <c r="D3322" t="s">
        <v>7884</v>
      </c>
      <c r="E3322" t="s">
        <v>23</v>
      </c>
      <c r="F3322" t="s">
        <v>44</v>
      </c>
      <c r="G3322">
        <v>2016</v>
      </c>
      <c r="H3322" t="s">
        <v>736</v>
      </c>
      <c r="I3322" t="s">
        <v>6413</v>
      </c>
      <c r="J3322" t="s">
        <v>3447</v>
      </c>
      <c r="K3322" t="s">
        <v>25</v>
      </c>
      <c r="L3322" t="s">
        <v>26</v>
      </c>
      <c r="M3322" t="b">
        <v>1</v>
      </c>
      <c r="N3322" t="s">
        <v>7885</v>
      </c>
      <c r="O3322" t="str">
        <f>"253"</f>
        <v>253</v>
      </c>
      <c r="Q3322" t="b">
        <v>0</v>
      </c>
      <c r="S3322" t="str">
        <f>"9780310525332"</f>
        <v>9780310525332</v>
      </c>
      <c r="T3322" t="str">
        <f>"9780310525349"</f>
        <v>9780310525349</v>
      </c>
      <c r="U3322" t="b">
        <v>0</v>
      </c>
      <c r="W3322" t="b">
        <v>0</v>
      </c>
    </row>
    <row r="3323" spans="1:23" x14ac:dyDescent="0.3">
      <c r="A3323">
        <v>1948477</v>
      </c>
      <c r="B3323">
        <v>58.62</v>
      </c>
      <c r="C3323" t="s">
        <v>7886</v>
      </c>
      <c r="D3323" t="s">
        <v>7887</v>
      </c>
      <c r="E3323" t="s">
        <v>23</v>
      </c>
      <c r="F3323" t="s">
        <v>44</v>
      </c>
      <c r="G3323">
        <v>2016</v>
      </c>
      <c r="H3323" t="s">
        <v>56</v>
      </c>
      <c r="I3323" t="s">
        <v>7888</v>
      </c>
      <c r="J3323" t="s">
        <v>7889</v>
      </c>
      <c r="K3323" t="s">
        <v>25</v>
      </c>
      <c r="L3323" t="s">
        <v>26</v>
      </c>
      <c r="M3323" t="b">
        <v>1</v>
      </c>
      <c r="N3323" t="s">
        <v>7680</v>
      </c>
      <c r="O3323" t="str">
        <f>"261.8/327"</f>
        <v>261.8/327</v>
      </c>
      <c r="Q3323" t="b">
        <v>0</v>
      </c>
      <c r="S3323" t="str">
        <f>"9780310524984"</f>
        <v>9780310524984</v>
      </c>
      <c r="T3323" t="str">
        <f>"9780310524991"</f>
        <v>9780310524991</v>
      </c>
      <c r="U3323" t="b">
        <v>0</v>
      </c>
      <c r="W3323" t="b">
        <v>0</v>
      </c>
    </row>
    <row r="3324" spans="1:23" x14ac:dyDescent="0.3">
      <c r="A3324">
        <v>1948476</v>
      </c>
      <c r="B3324">
        <v>58.62</v>
      </c>
      <c r="C3324" t="s">
        <v>7890</v>
      </c>
      <c r="D3324" t="s">
        <v>7891</v>
      </c>
      <c r="E3324" t="s">
        <v>49</v>
      </c>
      <c r="F3324" t="s">
        <v>44</v>
      </c>
      <c r="G3324">
        <v>2016</v>
      </c>
      <c r="H3324" t="s">
        <v>705</v>
      </c>
      <c r="K3324" t="s">
        <v>25</v>
      </c>
      <c r="L3324" t="s">
        <v>26</v>
      </c>
      <c r="M3324" t="b">
        <v>1</v>
      </c>
      <c r="N3324" t="s">
        <v>7892</v>
      </c>
      <c r="P3324" t="s">
        <v>5851</v>
      </c>
      <c r="Q3324" t="b">
        <v>0</v>
      </c>
      <c r="S3324" t="str">
        <f>"9780310521037"</f>
        <v>9780310521037</v>
      </c>
      <c r="T3324" t="str">
        <f>"9780310521044"</f>
        <v>9780310521044</v>
      </c>
      <c r="U3324" t="b">
        <v>0</v>
      </c>
      <c r="W3324" t="b">
        <v>0</v>
      </c>
    </row>
    <row r="3325" spans="1:23" x14ac:dyDescent="0.3">
      <c r="A3325">
        <v>1948475</v>
      </c>
      <c r="B3325">
        <v>79.319999999999993</v>
      </c>
      <c r="C3325" t="s">
        <v>7893</v>
      </c>
      <c r="D3325" t="s">
        <v>7894</v>
      </c>
      <c r="E3325" t="s">
        <v>23</v>
      </c>
      <c r="F3325" t="s">
        <v>106</v>
      </c>
      <c r="G3325">
        <v>1979</v>
      </c>
      <c r="H3325" t="s">
        <v>822</v>
      </c>
      <c r="I3325" t="s">
        <v>7895</v>
      </c>
      <c r="J3325" t="s">
        <v>7896</v>
      </c>
      <c r="K3325" t="s">
        <v>25</v>
      </c>
      <c r="L3325" t="s">
        <v>26</v>
      </c>
      <c r="M3325" t="b">
        <v>1</v>
      </c>
      <c r="N3325" t="s">
        <v>7897</v>
      </c>
      <c r="O3325" t="str">
        <f>"301.2"</f>
        <v>301.2</v>
      </c>
      <c r="Q3325" t="b">
        <v>0</v>
      </c>
      <c r="S3325" t="str">
        <f>"9780310363811"</f>
        <v>9780310363811</v>
      </c>
      <c r="T3325" t="str">
        <f>"9780310535867"</f>
        <v>9780310535867</v>
      </c>
      <c r="U3325" t="b">
        <v>0</v>
      </c>
      <c r="W3325" t="b">
        <v>0</v>
      </c>
    </row>
    <row r="3326" spans="1:23" x14ac:dyDescent="0.3">
      <c r="A3326">
        <v>1948474</v>
      </c>
      <c r="B3326">
        <v>58.62</v>
      </c>
      <c r="C3326" t="s">
        <v>7898</v>
      </c>
      <c r="D3326" t="s">
        <v>7698</v>
      </c>
      <c r="E3326" t="s">
        <v>49</v>
      </c>
      <c r="F3326" t="s">
        <v>106</v>
      </c>
      <c r="G3326">
        <v>2017</v>
      </c>
      <c r="H3326" t="s">
        <v>893</v>
      </c>
      <c r="K3326" t="s">
        <v>25</v>
      </c>
      <c r="L3326" t="s">
        <v>26</v>
      </c>
      <c r="M3326" t="b">
        <v>1</v>
      </c>
      <c r="N3326" t="s">
        <v>44</v>
      </c>
      <c r="Q3326" t="b">
        <v>0</v>
      </c>
      <c r="S3326" t="str">
        <f>"9780310492542"</f>
        <v>9780310492542</v>
      </c>
      <c r="T3326" t="str">
        <f>"9780310535843"</f>
        <v>9780310535843</v>
      </c>
      <c r="U3326" t="b">
        <v>0</v>
      </c>
      <c r="W3326" t="b">
        <v>0</v>
      </c>
    </row>
    <row r="3327" spans="1:23" x14ac:dyDescent="0.3">
      <c r="A3327">
        <v>1948473</v>
      </c>
      <c r="B3327">
        <v>86.22</v>
      </c>
      <c r="C3327" t="s">
        <v>7899</v>
      </c>
      <c r="D3327" t="s">
        <v>7900</v>
      </c>
      <c r="E3327" t="s">
        <v>49</v>
      </c>
      <c r="F3327" t="s">
        <v>106</v>
      </c>
      <c r="G3327">
        <v>2015</v>
      </c>
      <c r="H3327" t="s">
        <v>1181</v>
      </c>
      <c r="I3327" t="s">
        <v>7901</v>
      </c>
      <c r="J3327" t="s">
        <v>895</v>
      </c>
      <c r="K3327" t="s">
        <v>25</v>
      </c>
      <c r="L3327" t="s">
        <v>26</v>
      </c>
      <c r="M3327" t="b">
        <v>1</v>
      </c>
      <c r="N3327" t="s">
        <v>7902</v>
      </c>
      <c r="O3327" t="str">
        <f>"251"</f>
        <v>251</v>
      </c>
      <c r="Q3327" t="b">
        <v>0</v>
      </c>
      <c r="S3327" t="str">
        <f>"9780310519638"</f>
        <v>9780310519638</v>
      </c>
      <c r="T3327" t="str">
        <f>"9780310519645"</f>
        <v>9780310519645</v>
      </c>
      <c r="U3327" t="b">
        <v>0</v>
      </c>
      <c r="W3327" t="b">
        <v>0</v>
      </c>
    </row>
    <row r="3328" spans="1:23" x14ac:dyDescent="0.3">
      <c r="A3328">
        <v>1948472</v>
      </c>
      <c r="B3328">
        <v>65.52</v>
      </c>
      <c r="C3328" t="s">
        <v>7903</v>
      </c>
      <c r="D3328" t="s">
        <v>7904</v>
      </c>
      <c r="E3328" t="s">
        <v>49</v>
      </c>
      <c r="F3328" t="s">
        <v>44</v>
      </c>
      <c r="G3328">
        <v>2016</v>
      </c>
      <c r="H3328" t="s">
        <v>1122</v>
      </c>
      <c r="I3328" t="s">
        <v>5779</v>
      </c>
      <c r="J3328" t="s">
        <v>7905</v>
      </c>
      <c r="K3328" t="s">
        <v>25</v>
      </c>
      <c r="L3328" t="s">
        <v>26</v>
      </c>
      <c r="M3328" t="b">
        <v>1</v>
      </c>
      <c r="N3328" t="s">
        <v>7885</v>
      </c>
      <c r="O3328" t="str">
        <f>"248.4"</f>
        <v>248.4</v>
      </c>
      <c r="Q3328" t="b">
        <v>0</v>
      </c>
      <c r="S3328" t="str">
        <f>"9780310520092"</f>
        <v>9780310520092</v>
      </c>
      <c r="T3328" t="str">
        <f>"9780310520085"</f>
        <v>9780310520085</v>
      </c>
      <c r="U3328" t="b">
        <v>0</v>
      </c>
      <c r="W3328" t="b">
        <v>0</v>
      </c>
    </row>
    <row r="3329" spans="1:23" x14ac:dyDescent="0.3">
      <c r="A3329">
        <v>1948471</v>
      </c>
      <c r="B3329">
        <v>142.1</v>
      </c>
      <c r="C3329" t="s">
        <v>7906</v>
      </c>
      <c r="D3329" t="s">
        <v>7907</v>
      </c>
      <c r="E3329" t="s">
        <v>49</v>
      </c>
      <c r="F3329" t="s">
        <v>106</v>
      </c>
      <c r="G3329">
        <v>2017</v>
      </c>
      <c r="H3329" t="s">
        <v>7908</v>
      </c>
      <c r="I3329" t="s">
        <v>7909</v>
      </c>
      <c r="J3329" t="s">
        <v>933</v>
      </c>
      <c r="K3329" t="s">
        <v>25</v>
      </c>
      <c r="L3329" t="s">
        <v>26</v>
      </c>
      <c r="M3329" t="b">
        <v>1</v>
      </c>
      <c r="N3329" t="s">
        <v>7601</v>
      </c>
      <c r="O3329" t="str">
        <f>"225.3"</f>
        <v>225.3</v>
      </c>
      <c r="Q3329" t="b">
        <v>0</v>
      </c>
      <c r="S3329" t="str">
        <f>"9780310256205"</f>
        <v>9780310256205</v>
      </c>
      <c r="T3329" t="str">
        <f>"9780310537557"</f>
        <v>9780310537557</v>
      </c>
      <c r="U3329" t="b">
        <v>0</v>
      </c>
      <c r="V3329" t="s">
        <v>7907</v>
      </c>
      <c r="W3329" t="b">
        <v>0</v>
      </c>
    </row>
    <row r="3330" spans="1:23" x14ac:dyDescent="0.3">
      <c r="A3330">
        <v>1948470</v>
      </c>
      <c r="B3330">
        <v>44.82</v>
      </c>
      <c r="C3330" t="s">
        <v>7910</v>
      </c>
      <c r="D3330" t="s">
        <v>7911</v>
      </c>
      <c r="E3330" t="s">
        <v>49</v>
      </c>
      <c r="F3330" t="s">
        <v>44</v>
      </c>
      <c r="G3330">
        <v>2015</v>
      </c>
      <c r="H3330" t="s">
        <v>3527</v>
      </c>
      <c r="K3330" t="s">
        <v>25</v>
      </c>
      <c r="L3330" t="s">
        <v>30</v>
      </c>
      <c r="M3330" t="b">
        <v>1</v>
      </c>
      <c r="N3330" t="s">
        <v>7912</v>
      </c>
      <c r="P3330" t="s">
        <v>7913</v>
      </c>
      <c r="Q3330" t="b">
        <v>0</v>
      </c>
      <c r="S3330" t="str">
        <f>"9780310519379"</f>
        <v>9780310519379</v>
      </c>
      <c r="T3330" t="str">
        <f>"9780310519386"</f>
        <v>9780310519386</v>
      </c>
      <c r="U3330" t="b">
        <v>0</v>
      </c>
      <c r="W3330" t="b">
        <v>0</v>
      </c>
    </row>
    <row r="3331" spans="1:23" x14ac:dyDescent="0.3">
      <c r="A3331">
        <v>1948469</v>
      </c>
      <c r="B3331">
        <v>44.82</v>
      </c>
      <c r="C3331" t="s">
        <v>7914</v>
      </c>
      <c r="D3331" t="s">
        <v>7915</v>
      </c>
      <c r="E3331" t="s">
        <v>49</v>
      </c>
      <c r="F3331" t="s">
        <v>44</v>
      </c>
      <c r="G3331">
        <v>2015</v>
      </c>
      <c r="H3331" t="s">
        <v>3527</v>
      </c>
      <c r="K3331" t="s">
        <v>25</v>
      </c>
      <c r="L3331" t="s">
        <v>30</v>
      </c>
      <c r="M3331" t="b">
        <v>1</v>
      </c>
      <c r="N3331" t="s">
        <v>7916</v>
      </c>
      <c r="P3331" t="s">
        <v>7913</v>
      </c>
      <c r="Q3331" t="b">
        <v>0</v>
      </c>
      <c r="S3331" t="str">
        <f>"9780310519317"</f>
        <v>9780310519317</v>
      </c>
      <c r="T3331" t="str">
        <f>"9780310519324"</f>
        <v>9780310519324</v>
      </c>
      <c r="U3331" t="b">
        <v>0</v>
      </c>
      <c r="W3331" t="b">
        <v>0</v>
      </c>
    </row>
    <row r="3332" spans="1:23" x14ac:dyDescent="0.3">
      <c r="A3332">
        <v>1948468</v>
      </c>
      <c r="B3332">
        <v>34.47</v>
      </c>
      <c r="C3332" t="s">
        <v>7917</v>
      </c>
      <c r="D3332" t="s">
        <v>7918</v>
      </c>
      <c r="E3332" t="s">
        <v>23</v>
      </c>
      <c r="F3332" t="s">
        <v>44</v>
      </c>
      <c r="G3332">
        <v>2015</v>
      </c>
      <c r="H3332" t="s">
        <v>2702</v>
      </c>
      <c r="K3332" t="s">
        <v>25</v>
      </c>
      <c r="L3332" t="s">
        <v>30</v>
      </c>
      <c r="M3332" t="b">
        <v>1</v>
      </c>
      <c r="N3332" t="s">
        <v>7919</v>
      </c>
      <c r="Q3332" t="b">
        <v>0</v>
      </c>
      <c r="S3332" t="str">
        <f>"9780310519171"</f>
        <v>9780310519171</v>
      </c>
      <c r="T3332" t="str">
        <f>"9780310519188"</f>
        <v>9780310519188</v>
      </c>
      <c r="U3332" t="b">
        <v>0</v>
      </c>
      <c r="W3332" t="b">
        <v>0</v>
      </c>
    </row>
    <row r="3333" spans="1:23" x14ac:dyDescent="0.3">
      <c r="A3333">
        <v>1948467</v>
      </c>
      <c r="B3333">
        <v>51.72</v>
      </c>
      <c r="C3333" t="s">
        <v>7920</v>
      </c>
      <c r="D3333" t="s">
        <v>7921</v>
      </c>
      <c r="E3333" t="s">
        <v>49</v>
      </c>
      <c r="F3333" t="s">
        <v>44</v>
      </c>
      <c r="G3333">
        <v>2015</v>
      </c>
      <c r="H3333" t="s">
        <v>3527</v>
      </c>
      <c r="I3333" t="s">
        <v>7922</v>
      </c>
      <c r="J3333" t="s">
        <v>895</v>
      </c>
      <c r="K3333" t="s">
        <v>25</v>
      </c>
      <c r="L3333" t="s">
        <v>30</v>
      </c>
      <c r="M3333" t="b">
        <v>1</v>
      </c>
      <c r="N3333" t="s">
        <v>7919</v>
      </c>
      <c r="O3333" t="str">
        <f>"253"</f>
        <v>253</v>
      </c>
      <c r="Q3333" t="b">
        <v>0</v>
      </c>
      <c r="S3333" t="str">
        <f>"9780310519157"</f>
        <v>9780310519157</v>
      </c>
      <c r="T3333" t="str">
        <f>"9780310519164"</f>
        <v>9780310519164</v>
      </c>
      <c r="U3333" t="b">
        <v>0</v>
      </c>
      <c r="W3333" t="b">
        <v>0</v>
      </c>
    </row>
    <row r="3334" spans="1:23" x14ac:dyDescent="0.3">
      <c r="A3334">
        <v>1948466</v>
      </c>
      <c r="B3334">
        <v>68.97</v>
      </c>
      <c r="C3334" t="s">
        <v>7923</v>
      </c>
      <c r="D3334" t="s">
        <v>7924</v>
      </c>
      <c r="E3334" t="s">
        <v>49</v>
      </c>
      <c r="F3334" t="s">
        <v>44</v>
      </c>
      <c r="G3334">
        <v>2015</v>
      </c>
      <c r="H3334" t="s">
        <v>1122</v>
      </c>
      <c r="I3334" t="s">
        <v>6694</v>
      </c>
      <c r="J3334" t="s">
        <v>895</v>
      </c>
      <c r="K3334" t="s">
        <v>25</v>
      </c>
      <c r="L3334" t="s">
        <v>30</v>
      </c>
      <c r="M3334" t="b">
        <v>1</v>
      </c>
      <c r="N3334" t="s">
        <v>3467</v>
      </c>
      <c r="O3334" t="str">
        <f>"253"</f>
        <v>253</v>
      </c>
      <c r="Q3334" t="b">
        <v>0</v>
      </c>
      <c r="S3334" t="str">
        <f>"9780310533955"</f>
        <v>9780310533955</v>
      </c>
      <c r="T3334" t="str">
        <f>"9780310515258"</f>
        <v>9780310515258</v>
      </c>
      <c r="U3334" t="b">
        <v>0</v>
      </c>
      <c r="W3334" t="b">
        <v>0</v>
      </c>
    </row>
    <row r="3335" spans="1:23" x14ac:dyDescent="0.3">
      <c r="A3335">
        <v>1948465</v>
      </c>
      <c r="B3335">
        <v>182.82</v>
      </c>
      <c r="C3335" t="s">
        <v>7925</v>
      </c>
      <c r="D3335" t="s">
        <v>3445</v>
      </c>
      <c r="E3335" t="s">
        <v>49</v>
      </c>
      <c r="F3335" t="s">
        <v>106</v>
      </c>
      <c r="G3335">
        <v>2018</v>
      </c>
      <c r="H3335" t="s">
        <v>1181</v>
      </c>
      <c r="I3335" t="s">
        <v>7926</v>
      </c>
      <c r="K3335" t="s">
        <v>25</v>
      </c>
      <c r="L3335" t="s">
        <v>26</v>
      </c>
      <c r="M3335" t="b">
        <v>1</v>
      </c>
      <c r="N3335" t="s">
        <v>7844</v>
      </c>
      <c r="O3335" t="str">
        <f>"222/.1507"</f>
        <v>222/.1507</v>
      </c>
      <c r="P3335" t="s">
        <v>6546</v>
      </c>
      <c r="Q3335" t="b">
        <v>0</v>
      </c>
      <c r="S3335" t="str">
        <f>"9780310521655"</f>
        <v>9780310521655</v>
      </c>
      <c r="T3335" t="str">
        <f>"9780310588412"</f>
        <v>9780310588412</v>
      </c>
      <c r="U3335" t="b">
        <v>0</v>
      </c>
      <c r="V3335" t="s">
        <v>870</v>
      </c>
      <c r="W3335" t="b">
        <v>0</v>
      </c>
    </row>
    <row r="3336" spans="1:23" x14ac:dyDescent="0.3">
      <c r="A3336">
        <v>1948464</v>
      </c>
      <c r="B3336">
        <v>60.37</v>
      </c>
      <c r="C3336" t="s">
        <v>7927</v>
      </c>
      <c r="E3336" t="s">
        <v>49</v>
      </c>
      <c r="F3336" t="s">
        <v>44</v>
      </c>
      <c r="G3336">
        <v>2010</v>
      </c>
      <c r="H3336" t="s">
        <v>2702</v>
      </c>
      <c r="K3336" t="s">
        <v>25</v>
      </c>
      <c r="L3336" t="s">
        <v>30</v>
      </c>
      <c r="M3336" t="b">
        <v>1</v>
      </c>
      <c r="N3336" t="s">
        <v>44</v>
      </c>
      <c r="Q3336" t="b">
        <v>0</v>
      </c>
      <c r="T3336" t="str">
        <f>"9780310862406"</f>
        <v>9780310862406</v>
      </c>
      <c r="U3336" t="b">
        <v>0</v>
      </c>
      <c r="W3336" t="b">
        <v>0</v>
      </c>
    </row>
    <row r="3337" spans="1:23" x14ac:dyDescent="0.3">
      <c r="A3337">
        <v>1948463</v>
      </c>
      <c r="B3337">
        <v>71.03</v>
      </c>
      <c r="C3337" t="s">
        <v>7928</v>
      </c>
      <c r="D3337" t="s">
        <v>7929</v>
      </c>
      <c r="E3337" t="s">
        <v>49</v>
      </c>
      <c r="F3337" t="s">
        <v>106</v>
      </c>
      <c r="G3337">
        <v>2013</v>
      </c>
      <c r="H3337" t="s">
        <v>893</v>
      </c>
      <c r="I3337" t="s">
        <v>7930</v>
      </c>
      <c r="J3337" t="s">
        <v>7931</v>
      </c>
      <c r="K3337" t="s">
        <v>25</v>
      </c>
      <c r="L3337" t="s">
        <v>26</v>
      </c>
      <c r="M3337" t="b">
        <v>1</v>
      </c>
      <c r="N3337" t="s">
        <v>1145</v>
      </c>
      <c r="O3337" t="str">
        <f>"487/.4"</f>
        <v>487/.4</v>
      </c>
      <c r="Q3337" t="b">
        <v>0</v>
      </c>
      <c r="S3337" t="str">
        <f>"9780310277101"</f>
        <v>9780310277101</v>
      </c>
      <c r="T3337" t="str">
        <f>"9780310518099"</f>
        <v>9780310518099</v>
      </c>
      <c r="U3337" t="b">
        <v>0</v>
      </c>
      <c r="W3337" t="b">
        <v>0</v>
      </c>
    </row>
    <row r="3338" spans="1:23" x14ac:dyDescent="0.3">
      <c r="A3338">
        <v>1948462</v>
      </c>
      <c r="B3338">
        <v>44.82</v>
      </c>
      <c r="C3338" t="s">
        <v>7932</v>
      </c>
      <c r="D3338" t="s">
        <v>7933</v>
      </c>
      <c r="E3338" t="s">
        <v>49</v>
      </c>
      <c r="F3338" t="s">
        <v>44</v>
      </c>
      <c r="G3338">
        <v>2015</v>
      </c>
      <c r="H3338" t="s">
        <v>3527</v>
      </c>
      <c r="K3338" t="s">
        <v>25</v>
      </c>
      <c r="L3338" t="s">
        <v>30</v>
      </c>
      <c r="M3338" t="b">
        <v>1</v>
      </c>
      <c r="N3338" t="s">
        <v>7934</v>
      </c>
      <c r="P3338" t="s">
        <v>7913</v>
      </c>
      <c r="Q3338" t="b">
        <v>0</v>
      </c>
      <c r="S3338" t="str">
        <f>"9780310519355"</f>
        <v>9780310519355</v>
      </c>
      <c r="T3338" t="str">
        <f>"9780310519362"</f>
        <v>9780310519362</v>
      </c>
      <c r="U3338" t="b">
        <v>0</v>
      </c>
      <c r="W3338" t="b">
        <v>0</v>
      </c>
    </row>
    <row r="3339" spans="1:23" x14ac:dyDescent="0.3">
      <c r="A3339">
        <v>1948461</v>
      </c>
      <c r="B3339">
        <v>44.82</v>
      </c>
      <c r="C3339" t="s">
        <v>7935</v>
      </c>
      <c r="D3339" t="s">
        <v>7936</v>
      </c>
      <c r="E3339" t="s">
        <v>49</v>
      </c>
      <c r="F3339" t="s">
        <v>44</v>
      </c>
      <c r="G3339">
        <v>2015</v>
      </c>
      <c r="H3339" t="s">
        <v>3527</v>
      </c>
      <c r="I3339" t="s">
        <v>7937</v>
      </c>
      <c r="J3339" t="s">
        <v>895</v>
      </c>
      <c r="K3339" t="s">
        <v>25</v>
      </c>
      <c r="L3339" t="s">
        <v>30</v>
      </c>
      <c r="M3339" t="b">
        <v>1</v>
      </c>
      <c r="N3339" t="s">
        <v>7938</v>
      </c>
      <c r="O3339" t="str">
        <f>"259/.6"</f>
        <v>259/.6</v>
      </c>
      <c r="P3339" t="s">
        <v>7913</v>
      </c>
      <c r="Q3339" t="b">
        <v>0</v>
      </c>
      <c r="S3339" t="str">
        <f>"9780310519331"</f>
        <v>9780310519331</v>
      </c>
      <c r="T3339" t="str">
        <f>"9780310519348"</f>
        <v>9780310519348</v>
      </c>
      <c r="U3339" t="b">
        <v>0</v>
      </c>
      <c r="W3339" t="b">
        <v>0</v>
      </c>
    </row>
    <row r="3340" spans="1:23" x14ac:dyDescent="0.3">
      <c r="A3340">
        <v>1948460</v>
      </c>
      <c r="B3340">
        <v>51.72</v>
      </c>
      <c r="C3340" t="s">
        <v>7939</v>
      </c>
      <c r="D3340" t="s">
        <v>7940</v>
      </c>
      <c r="E3340" t="s">
        <v>23</v>
      </c>
      <c r="F3340" t="s">
        <v>44</v>
      </c>
      <c r="G3340">
        <v>2015</v>
      </c>
      <c r="H3340" t="s">
        <v>56</v>
      </c>
      <c r="K3340" t="s">
        <v>25</v>
      </c>
      <c r="L3340" t="s">
        <v>30</v>
      </c>
      <c r="M3340" t="b">
        <v>1</v>
      </c>
      <c r="N3340" t="s">
        <v>7941</v>
      </c>
      <c r="Q3340" t="b">
        <v>0</v>
      </c>
      <c r="S3340" t="str">
        <f>"9780310518297"</f>
        <v>9780310518297</v>
      </c>
      <c r="T3340" t="str">
        <f>"9780310518327"</f>
        <v>9780310518327</v>
      </c>
      <c r="U3340" t="b">
        <v>0</v>
      </c>
      <c r="W3340" t="b">
        <v>0</v>
      </c>
    </row>
    <row r="3341" spans="1:23" x14ac:dyDescent="0.3">
      <c r="A3341">
        <v>1948459</v>
      </c>
      <c r="B3341">
        <v>58.62</v>
      </c>
      <c r="C3341" t="s">
        <v>7942</v>
      </c>
      <c r="D3341" t="s">
        <v>7943</v>
      </c>
      <c r="E3341" t="s">
        <v>23</v>
      </c>
      <c r="F3341" t="s">
        <v>44</v>
      </c>
      <c r="G3341">
        <v>2015</v>
      </c>
      <c r="H3341" t="s">
        <v>804</v>
      </c>
      <c r="I3341" t="s">
        <v>7944</v>
      </c>
      <c r="J3341" t="s">
        <v>7945</v>
      </c>
      <c r="K3341" t="s">
        <v>25</v>
      </c>
      <c r="L3341" t="s">
        <v>26</v>
      </c>
      <c r="M3341" t="b">
        <v>1</v>
      </c>
      <c r="N3341" t="s">
        <v>7946</v>
      </c>
      <c r="O3341" t="str">
        <f>"253"</f>
        <v>253</v>
      </c>
      <c r="Q3341" t="b">
        <v>0</v>
      </c>
      <c r="S3341" t="str">
        <f>"9780310516590"</f>
        <v>9780310516590</v>
      </c>
      <c r="T3341" t="str">
        <f>"9780310516606"</f>
        <v>9780310516606</v>
      </c>
      <c r="U3341" t="b">
        <v>0</v>
      </c>
      <c r="W3341" t="b">
        <v>0</v>
      </c>
    </row>
    <row r="3342" spans="1:23" x14ac:dyDescent="0.3">
      <c r="A3342">
        <v>1948458</v>
      </c>
      <c r="B3342">
        <v>58.62</v>
      </c>
      <c r="C3342" t="s">
        <v>7947</v>
      </c>
      <c r="D3342" t="s">
        <v>7948</v>
      </c>
      <c r="E3342" t="s">
        <v>49</v>
      </c>
      <c r="F3342" t="s">
        <v>44</v>
      </c>
      <c r="G3342">
        <v>2009</v>
      </c>
      <c r="H3342" t="s">
        <v>2702</v>
      </c>
      <c r="K3342" t="s">
        <v>25</v>
      </c>
      <c r="L3342" t="s">
        <v>30</v>
      </c>
      <c r="M3342" t="b">
        <v>1</v>
      </c>
      <c r="N3342" t="s">
        <v>7949</v>
      </c>
      <c r="Q3342" t="b">
        <v>0</v>
      </c>
      <c r="S3342" t="str">
        <f>"9780310324669"</f>
        <v>9780310324669</v>
      </c>
      <c r="T3342" t="str">
        <f>"9780310864387"</f>
        <v>9780310864387</v>
      </c>
      <c r="U3342" t="b">
        <v>0</v>
      </c>
      <c r="W3342" t="b">
        <v>0</v>
      </c>
    </row>
    <row r="3343" spans="1:23" x14ac:dyDescent="0.3">
      <c r="A3343">
        <v>1948457</v>
      </c>
      <c r="B3343">
        <v>51.72</v>
      </c>
      <c r="C3343" t="s">
        <v>7950</v>
      </c>
      <c r="D3343" t="s">
        <v>7951</v>
      </c>
      <c r="E3343" t="s">
        <v>49</v>
      </c>
      <c r="F3343" t="s">
        <v>44</v>
      </c>
      <c r="G3343">
        <v>2011</v>
      </c>
      <c r="H3343" t="s">
        <v>2702</v>
      </c>
      <c r="K3343" t="s">
        <v>25</v>
      </c>
      <c r="L3343" t="s">
        <v>30</v>
      </c>
      <c r="M3343" t="b">
        <v>1</v>
      </c>
      <c r="N3343" t="s">
        <v>7952</v>
      </c>
      <c r="Q3343" t="b">
        <v>0</v>
      </c>
      <c r="S3343" t="str">
        <f>"9780310243175"</f>
        <v>9780310243175</v>
      </c>
      <c r="T3343" t="str">
        <f>"9780310861836"</f>
        <v>9780310861836</v>
      </c>
      <c r="U3343" t="b">
        <v>0</v>
      </c>
      <c r="W3343" t="b">
        <v>0</v>
      </c>
    </row>
    <row r="3344" spans="1:23" x14ac:dyDescent="0.3">
      <c r="A3344">
        <v>1948456</v>
      </c>
      <c r="B3344">
        <v>58.62</v>
      </c>
      <c r="C3344" t="s">
        <v>7953</v>
      </c>
      <c r="D3344" t="s">
        <v>7954</v>
      </c>
      <c r="E3344" t="s">
        <v>49</v>
      </c>
      <c r="F3344" t="s">
        <v>44</v>
      </c>
      <c r="G3344">
        <v>2009</v>
      </c>
      <c r="H3344" t="s">
        <v>5369</v>
      </c>
      <c r="I3344" t="s">
        <v>937</v>
      </c>
      <c r="J3344" t="s">
        <v>938</v>
      </c>
      <c r="K3344" t="s">
        <v>25</v>
      </c>
      <c r="L3344" t="s">
        <v>30</v>
      </c>
      <c r="M3344" t="b">
        <v>1</v>
      </c>
      <c r="N3344" t="s">
        <v>7955</v>
      </c>
      <c r="O3344" t="str">
        <f>"270.8/3"</f>
        <v>270.8/3</v>
      </c>
      <c r="Q3344" t="b">
        <v>0</v>
      </c>
      <c r="S3344" t="str">
        <f>"9780310267133"</f>
        <v>9780310267133</v>
      </c>
      <c r="T3344" t="str">
        <f>"9780310860976"</f>
        <v>9780310860976</v>
      </c>
      <c r="U3344" t="b">
        <v>0</v>
      </c>
      <c r="V3344" t="s">
        <v>7104</v>
      </c>
      <c r="W3344" t="b">
        <v>0</v>
      </c>
    </row>
    <row r="3345" spans="1:23" x14ac:dyDescent="0.3">
      <c r="A3345">
        <v>1948455</v>
      </c>
      <c r="B3345">
        <v>68.97</v>
      </c>
      <c r="C3345" t="s">
        <v>7956</v>
      </c>
      <c r="D3345" t="s">
        <v>7957</v>
      </c>
      <c r="E3345" t="s">
        <v>23</v>
      </c>
      <c r="F3345" t="s">
        <v>44</v>
      </c>
      <c r="G3345">
        <v>2001</v>
      </c>
      <c r="H3345" t="s">
        <v>804</v>
      </c>
      <c r="I3345" t="s">
        <v>7958</v>
      </c>
      <c r="J3345" t="s">
        <v>7959</v>
      </c>
      <c r="K3345" t="s">
        <v>25</v>
      </c>
      <c r="L3345" t="s">
        <v>30</v>
      </c>
      <c r="M3345" t="b">
        <v>1</v>
      </c>
      <c r="N3345" t="s">
        <v>7960</v>
      </c>
      <c r="O3345" t="str">
        <f>"253"</f>
        <v>253</v>
      </c>
      <c r="Q3345" t="b">
        <v>0</v>
      </c>
      <c r="S3345" t="str">
        <f>"9780310531364"</f>
        <v>9780310531364</v>
      </c>
      <c r="T3345" t="str">
        <f>"9780310830443"</f>
        <v>9780310830443</v>
      </c>
      <c r="U3345" t="b">
        <v>0</v>
      </c>
      <c r="W3345" t="b">
        <v>0</v>
      </c>
    </row>
    <row r="3346" spans="1:23" x14ac:dyDescent="0.3">
      <c r="A3346">
        <v>1948454</v>
      </c>
      <c r="B3346">
        <v>44.82</v>
      </c>
      <c r="C3346" t="s">
        <v>7961</v>
      </c>
      <c r="E3346" t="s">
        <v>49</v>
      </c>
      <c r="F3346" t="s">
        <v>44</v>
      </c>
      <c r="G3346">
        <v>2014</v>
      </c>
      <c r="H3346" t="s">
        <v>50</v>
      </c>
      <c r="K3346" t="s">
        <v>25</v>
      </c>
      <c r="L3346" t="s">
        <v>26</v>
      </c>
      <c r="M3346" t="b">
        <v>1</v>
      </c>
      <c r="N3346" t="s">
        <v>7279</v>
      </c>
      <c r="P3346" t="s">
        <v>7146</v>
      </c>
      <c r="Q3346" t="b">
        <v>0</v>
      </c>
      <c r="S3346" t="str">
        <f>"9780310516774"</f>
        <v>9780310516774</v>
      </c>
      <c r="T3346" t="str">
        <f>"9780310516781"</f>
        <v>9780310516781</v>
      </c>
      <c r="U3346" t="b">
        <v>0</v>
      </c>
      <c r="W3346" t="b">
        <v>0</v>
      </c>
    </row>
    <row r="3347" spans="1:23" x14ac:dyDescent="0.3">
      <c r="A3347">
        <v>1948453</v>
      </c>
      <c r="B3347">
        <v>55.17</v>
      </c>
      <c r="C3347" t="s">
        <v>7962</v>
      </c>
      <c r="D3347" t="s">
        <v>7963</v>
      </c>
      <c r="E3347" t="s">
        <v>23</v>
      </c>
      <c r="F3347" t="s">
        <v>44</v>
      </c>
      <c r="G3347">
        <v>2009</v>
      </c>
      <c r="H3347" t="s">
        <v>4231</v>
      </c>
      <c r="I3347" t="s">
        <v>7091</v>
      </c>
      <c r="J3347" t="s">
        <v>7964</v>
      </c>
      <c r="K3347" t="s">
        <v>25</v>
      </c>
      <c r="L3347" t="s">
        <v>30</v>
      </c>
      <c r="M3347" t="b">
        <v>1</v>
      </c>
      <c r="N3347" t="s">
        <v>7965</v>
      </c>
      <c r="O3347" t="str">
        <f>"264/.34"</f>
        <v>264/.34</v>
      </c>
      <c r="Q3347" t="b">
        <v>0</v>
      </c>
      <c r="S3347" t="str">
        <f>"9780310292708"</f>
        <v>9780310292708</v>
      </c>
      <c r="T3347" t="str">
        <f>"9780310323464"</f>
        <v>9780310323464</v>
      </c>
      <c r="U3347" t="b">
        <v>0</v>
      </c>
      <c r="W3347" t="b">
        <v>0</v>
      </c>
    </row>
    <row r="3348" spans="1:23" x14ac:dyDescent="0.3">
      <c r="A3348">
        <v>1948452</v>
      </c>
      <c r="B3348">
        <v>65.52</v>
      </c>
      <c r="C3348" t="s">
        <v>7966</v>
      </c>
      <c r="D3348" t="s">
        <v>7967</v>
      </c>
      <c r="E3348" t="s">
        <v>49</v>
      </c>
      <c r="F3348" t="s">
        <v>44</v>
      </c>
      <c r="G3348">
        <v>2009</v>
      </c>
      <c r="H3348" t="s">
        <v>751</v>
      </c>
      <c r="I3348" t="s">
        <v>7968</v>
      </c>
      <c r="J3348" t="s">
        <v>7969</v>
      </c>
      <c r="K3348" t="s">
        <v>25</v>
      </c>
      <c r="L3348" t="s">
        <v>30</v>
      </c>
      <c r="M3348" t="b">
        <v>1</v>
      </c>
      <c r="N3348" t="s">
        <v>7970</v>
      </c>
      <c r="O3348" t="str">
        <f>"254"</f>
        <v>254</v>
      </c>
      <c r="P3348" t="s">
        <v>4756</v>
      </c>
      <c r="Q3348" t="b">
        <v>0</v>
      </c>
      <c r="S3348" t="str">
        <f>"9780310293941"</f>
        <v>9780310293941</v>
      </c>
      <c r="T3348" t="str">
        <f>"9780310323297"</f>
        <v>9780310323297</v>
      </c>
      <c r="U3348" t="b">
        <v>0</v>
      </c>
      <c r="W3348" t="b">
        <v>0</v>
      </c>
    </row>
    <row r="3349" spans="1:23" x14ac:dyDescent="0.3">
      <c r="A3349">
        <v>1948450</v>
      </c>
      <c r="B3349">
        <v>65.52</v>
      </c>
      <c r="C3349" t="s">
        <v>595</v>
      </c>
      <c r="D3349" t="s">
        <v>7971</v>
      </c>
      <c r="E3349" t="s">
        <v>49</v>
      </c>
      <c r="F3349" t="s">
        <v>44</v>
      </c>
      <c r="G3349">
        <v>2014</v>
      </c>
      <c r="H3349" t="s">
        <v>1122</v>
      </c>
      <c r="K3349" t="s">
        <v>25</v>
      </c>
      <c r="L3349" t="s">
        <v>30</v>
      </c>
      <c r="M3349" t="b">
        <v>1</v>
      </c>
      <c r="N3349" t="s">
        <v>7972</v>
      </c>
      <c r="Q3349" t="b">
        <v>0</v>
      </c>
      <c r="S3349" t="str">
        <f>"9780310250173"</f>
        <v>9780310250173</v>
      </c>
      <c r="T3349" t="str">
        <f>"9780310514435"</f>
        <v>9780310514435</v>
      </c>
      <c r="U3349" t="b">
        <v>0</v>
      </c>
      <c r="W3349" t="b">
        <v>0</v>
      </c>
    </row>
    <row r="3350" spans="1:23" x14ac:dyDescent="0.3">
      <c r="A3350">
        <v>1948449</v>
      </c>
      <c r="B3350">
        <v>31.95</v>
      </c>
      <c r="C3350" t="s">
        <v>7973</v>
      </c>
      <c r="D3350" t="s">
        <v>7974</v>
      </c>
      <c r="E3350" t="s">
        <v>49</v>
      </c>
      <c r="F3350" t="s">
        <v>44</v>
      </c>
      <c r="G3350">
        <v>2015</v>
      </c>
      <c r="H3350" t="s">
        <v>58</v>
      </c>
      <c r="I3350" t="s">
        <v>7975</v>
      </c>
      <c r="J3350" t="s">
        <v>7976</v>
      </c>
      <c r="K3350" t="s">
        <v>25</v>
      </c>
      <c r="L3350" t="s">
        <v>26</v>
      </c>
      <c r="M3350" t="b">
        <v>1</v>
      </c>
      <c r="N3350" t="s">
        <v>7124</v>
      </c>
      <c r="O3350" t="str">
        <f>"248.4"</f>
        <v>248.4</v>
      </c>
      <c r="Q3350" t="b">
        <v>0</v>
      </c>
      <c r="T3350" t="str">
        <f>"9780310531012"</f>
        <v>9780310531012</v>
      </c>
      <c r="U3350" t="b">
        <v>0</v>
      </c>
      <c r="V3350" t="s">
        <v>6095</v>
      </c>
      <c r="W3350" t="b">
        <v>0</v>
      </c>
    </row>
    <row r="3351" spans="1:23" x14ac:dyDescent="0.3">
      <c r="A3351">
        <v>1948448</v>
      </c>
      <c r="B3351">
        <v>58.62</v>
      </c>
      <c r="C3351" t="s">
        <v>7977</v>
      </c>
      <c r="D3351" t="s">
        <v>7978</v>
      </c>
      <c r="E3351" t="s">
        <v>23</v>
      </c>
      <c r="F3351" t="s">
        <v>44</v>
      </c>
      <c r="G3351">
        <v>2018</v>
      </c>
      <c r="H3351" t="s">
        <v>881</v>
      </c>
      <c r="I3351" t="s">
        <v>7979</v>
      </c>
      <c r="J3351" t="s">
        <v>895</v>
      </c>
      <c r="K3351" t="s">
        <v>25</v>
      </c>
      <c r="L3351" t="s">
        <v>26</v>
      </c>
      <c r="M3351" t="b">
        <v>1</v>
      </c>
      <c r="N3351" t="s">
        <v>7604</v>
      </c>
      <c r="O3351" t="str">
        <f>"220.15"</f>
        <v>220.15</v>
      </c>
      <c r="Q3351" t="b">
        <v>0</v>
      </c>
      <c r="S3351" t="str">
        <f>"9780310597117"</f>
        <v>9780310597117</v>
      </c>
      <c r="T3351" t="str">
        <f>"9780310597124"</f>
        <v>9780310597124</v>
      </c>
      <c r="U3351" t="b">
        <v>0</v>
      </c>
      <c r="W3351" t="b">
        <v>0</v>
      </c>
    </row>
    <row r="3352" spans="1:23" x14ac:dyDescent="0.3">
      <c r="A3352">
        <v>1948447</v>
      </c>
      <c r="B3352">
        <v>51.72</v>
      </c>
      <c r="C3352" t="s">
        <v>7980</v>
      </c>
      <c r="D3352" t="s">
        <v>7981</v>
      </c>
      <c r="E3352" t="s">
        <v>23</v>
      </c>
      <c r="F3352" t="s">
        <v>44</v>
      </c>
      <c r="G3352">
        <v>2016</v>
      </c>
      <c r="H3352" t="s">
        <v>52</v>
      </c>
      <c r="I3352" t="s">
        <v>7982</v>
      </c>
      <c r="J3352" t="s">
        <v>895</v>
      </c>
      <c r="K3352" t="s">
        <v>25</v>
      </c>
      <c r="L3352" t="s">
        <v>26</v>
      </c>
      <c r="M3352" t="b">
        <v>1</v>
      </c>
      <c r="N3352" t="s">
        <v>7983</v>
      </c>
      <c r="O3352" t="str">
        <f>"262.9"</f>
        <v>262.9</v>
      </c>
      <c r="Q3352" t="b">
        <v>0</v>
      </c>
      <c r="S3352" t="str">
        <f>"9780310511915"</f>
        <v>9780310511915</v>
      </c>
      <c r="T3352" t="str">
        <f>"9780310535478"</f>
        <v>9780310535478</v>
      </c>
      <c r="U3352" t="b">
        <v>0</v>
      </c>
      <c r="W3352" t="b">
        <v>0</v>
      </c>
    </row>
    <row r="3353" spans="1:23" x14ac:dyDescent="0.3">
      <c r="A3353">
        <v>1948446</v>
      </c>
      <c r="B3353">
        <v>51.72</v>
      </c>
      <c r="C3353" t="s">
        <v>7984</v>
      </c>
      <c r="D3353" t="s">
        <v>7985</v>
      </c>
      <c r="E3353" t="s">
        <v>23</v>
      </c>
      <c r="F3353" t="s">
        <v>44</v>
      </c>
      <c r="G3353">
        <v>2015</v>
      </c>
      <c r="H3353" t="s">
        <v>1181</v>
      </c>
      <c r="I3353" t="s">
        <v>6736</v>
      </c>
      <c r="J3353" t="s">
        <v>6985</v>
      </c>
      <c r="K3353" t="s">
        <v>25</v>
      </c>
      <c r="L3353" t="s">
        <v>30</v>
      </c>
      <c r="M3353" t="b">
        <v>1</v>
      </c>
      <c r="N3353" t="s">
        <v>7983</v>
      </c>
      <c r="O3353" t="str">
        <f>"251"</f>
        <v>251</v>
      </c>
      <c r="Q3353" t="b">
        <v>0</v>
      </c>
      <c r="S3353" t="str">
        <f>"9780310510918"</f>
        <v>9780310510918</v>
      </c>
      <c r="T3353" t="str">
        <f>"9780310524328"</f>
        <v>9780310524328</v>
      </c>
      <c r="U3353" t="b">
        <v>0</v>
      </c>
      <c r="W3353" t="b">
        <v>0</v>
      </c>
    </row>
    <row r="3354" spans="1:23" x14ac:dyDescent="0.3">
      <c r="A3354">
        <v>1948445</v>
      </c>
      <c r="B3354">
        <v>86.22</v>
      </c>
      <c r="C3354" t="s">
        <v>7986</v>
      </c>
      <c r="D3354" t="s">
        <v>7987</v>
      </c>
      <c r="E3354" t="s">
        <v>49</v>
      </c>
      <c r="F3354" t="s">
        <v>44</v>
      </c>
      <c r="G3354">
        <v>2016</v>
      </c>
      <c r="H3354" t="s">
        <v>52</v>
      </c>
      <c r="I3354" t="s">
        <v>7988</v>
      </c>
      <c r="J3354" t="s">
        <v>895</v>
      </c>
      <c r="K3354" t="s">
        <v>25</v>
      </c>
      <c r="L3354" t="s">
        <v>26</v>
      </c>
      <c r="M3354" t="b">
        <v>1</v>
      </c>
      <c r="N3354" t="s">
        <v>7983</v>
      </c>
      <c r="O3354" t="str">
        <f>"253"</f>
        <v>253</v>
      </c>
      <c r="Q3354" t="b">
        <v>0</v>
      </c>
      <c r="S3354" t="str">
        <f>"9780310510710"</f>
        <v>9780310510710</v>
      </c>
      <c r="T3354" t="str">
        <f>"9780310535454"</f>
        <v>9780310535454</v>
      </c>
      <c r="U3354" t="b">
        <v>0</v>
      </c>
      <c r="W3354" t="b">
        <v>0</v>
      </c>
    </row>
    <row r="3355" spans="1:23" x14ac:dyDescent="0.3">
      <c r="A3355">
        <v>1948444</v>
      </c>
      <c r="B3355">
        <v>51.72</v>
      </c>
      <c r="C3355" t="s">
        <v>7989</v>
      </c>
      <c r="E3355" t="s">
        <v>49</v>
      </c>
      <c r="F3355" t="s">
        <v>106</v>
      </c>
      <c r="G3355">
        <v>2018</v>
      </c>
      <c r="H3355" t="s">
        <v>893</v>
      </c>
      <c r="I3355" t="s">
        <v>7990</v>
      </c>
      <c r="J3355" t="s">
        <v>895</v>
      </c>
      <c r="K3355" t="s">
        <v>25</v>
      </c>
      <c r="L3355" t="s">
        <v>26</v>
      </c>
      <c r="M3355" t="b">
        <v>1</v>
      </c>
      <c r="N3355" t="s">
        <v>1178</v>
      </c>
      <c r="O3355" t="str">
        <f>"428.2/4924"</f>
        <v>428.2/4924</v>
      </c>
      <c r="Q3355" t="b">
        <v>0</v>
      </c>
      <c r="S3355" t="str">
        <f>"9780310318316"</f>
        <v>9780310318316</v>
      </c>
      <c r="T3355" t="str">
        <f>"9780310100874"</f>
        <v>9780310100874</v>
      </c>
      <c r="U3355" t="b">
        <v>0</v>
      </c>
      <c r="W3355" t="b">
        <v>0</v>
      </c>
    </row>
    <row r="3356" spans="1:23" x14ac:dyDescent="0.3">
      <c r="A3356">
        <v>1948443</v>
      </c>
      <c r="B3356">
        <v>58.62</v>
      </c>
      <c r="C3356" t="s">
        <v>7991</v>
      </c>
      <c r="D3356" t="s">
        <v>7992</v>
      </c>
      <c r="E3356" t="s">
        <v>49</v>
      </c>
      <c r="F3356" t="s">
        <v>106</v>
      </c>
      <c r="G3356">
        <v>2018</v>
      </c>
      <c r="H3356" t="s">
        <v>71</v>
      </c>
      <c r="I3356" t="s">
        <v>7993</v>
      </c>
      <c r="J3356" t="s">
        <v>895</v>
      </c>
      <c r="K3356" t="s">
        <v>25</v>
      </c>
      <c r="L3356" t="s">
        <v>26</v>
      </c>
      <c r="M3356" t="b">
        <v>1</v>
      </c>
      <c r="N3356" t="s">
        <v>7994</v>
      </c>
      <c r="O3356" t="str">
        <f>"261.5"</f>
        <v>261.5</v>
      </c>
      <c r="Q3356" t="b">
        <v>0</v>
      </c>
      <c r="S3356" t="str">
        <f>"9780310303411"</f>
        <v>9780310303411</v>
      </c>
      <c r="T3356" t="str">
        <f>"9780310080909"</f>
        <v>9780310080909</v>
      </c>
      <c r="U3356" t="b">
        <v>0</v>
      </c>
      <c r="W3356" t="b">
        <v>0</v>
      </c>
    </row>
    <row r="3357" spans="1:23" x14ac:dyDescent="0.3">
      <c r="A3357">
        <v>1948442</v>
      </c>
      <c r="B3357">
        <v>46.16</v>
      </c>
      <c r="C3357" t="s">
        <v>7995</v>
      </c>
      <c r="E3357" t="s">
        <v>49</v>
      </c>
      <c r="F3357" t="s">
        <v>106</v>
      </c>
      <c r="G3357">
        <v>2010</v>
      </c>
      <c r="H3357" t="s">
        <v>1181</v>
      </c>
      <c r="I3357" t="s">
        <v>6909</v>
      </c>
      <c r="J3357" t="s">
        <v>7996</v>
      </c>
      <c r="K3357" t="s">
        <v>25</v>
      </c>
      <c r="L3357" t="s">
        <v>26</v>
      </c>
      <c r="M3357" t="b">
        <v>1</v>
      </c>
      <c r="N3357" t="s">
        <v>7997</v>
      </c>
      <c r="O3357" t="str">
        <f>"262.14082"</f>
        <v>262.14082</v>
      </c>
      <c r="P3357" t="s">
        <v>925</v>
      </c>
      <c r="Q3357" t="b">
        <v>0</v>
      </c>
      <c r="S3357" t="str">
        <f>"9780310254379"</f>
        <v>9780310254379</v>
      </c>
      <c r="T3357" t="str">
        <f>"9780310864516"</f>
        <v>9780310864516</v>
      </c>
      <c r="U3357" t="b">
        <v>0</v>
      </c>
      <c r="W3357" t="b">
        <v>0</v>
      </c>
    </row>
    <row r="3358" spans="1:23" x14ac:dyDescent="0.3">
      <c r="A3358">
        <v>1948441</v>
      </c>
      <c r="B3358">
        <v>62.07</v>
      </c>
      <c r="C3358" t="s">
        <v>7998</v>
      </c>
      <c r="D3358" t="s">
        <v>7999</v>
      </c>
      <c r="E3358" t="s">
        <v>49</v>
      </c>
      <c r="F3358" t="s">
        <v>44</v>
      </c>
      <c r="G3358">
        <v>2014</v>
      </c>
      <c r="H3358" t="s">
        <v>68</v>
      </c>
      <c r="I3358" t="s">
        <v>5779</v>
      </c>
      <c r="J3358" t="s">
        <v>8000</v>
      </c>
      <c r="K3358" t="s">
        <v>25</v>
      </c>
      <c r="L3358" t="s">
        <v>26</v>
      </c>
      <c r="M3358" t="b">
        <v>1</v>
      </c>
      <c r="N3358" t="s">
        <v>8001</v>
      </c>
      <c r="O3358" t="str">
        <f>"248/.5"</f>
        <v>248/.5</v>
      </c>
      <c r="Q3358" t="b">
        <v>0</v>
      </c>
      <c r="S3358" t="str">
        <f>"9780310597247"</f>
        <v>9780310597247</v>
      </c>
      <c r="T3358" t="str">
        <f>"9780310516705"</f>
        <v>9780310516705</v>
      </c>
      <c r="U3358" t="b">
        <v>0</v>
      </c>
      <c r="W3358" t="b">
        <v>0</v>
      </c>
    </row>
    <row r="3359" spans="1:23" x14ac:dyDescent="0.3">
      <c r="A3359">
        <v>1948440</v>
      </c>
      <c r="B3359">
        <v>58.62</v>
      </c>
      <c r="C3359" t="s">
        <v>8002</v>
      </c>
      <c r="D3359" t="s">
        <v>8003</v>
      </c>
      <c r="E3359" t="s">
        <v>49</v>
      </c>
      <c r="F3359" t="s">
        <v>44</v>
      </c>
      <c r="G3359">
        <v>2014</v>
      </c>
      <c r="H3359" t="s">
        <v>751</v>
      </c>
      <c r="I3359" t="s">
        <v>8004</v>
      </c>
      <c r="J3359" t="s">
        <v>8005</v>
      </c>
      <c r="K3359" t="s">
        <v>25</v>
      </c>
      <c r="L3359" t="s">
        <v>26</v>
      </c>
      <c r="M3359" t="b">
        <v>1</v>
      </c>
      <c r="N3359" t="s">
        <v>8006</v>
      </c>
      <c r="O3359" t="str">
        <f>"262"</f>
        <v>262</v>
      </c>
      <c r="Q3359" t="b">
        <v>0</v>
      </c>
      <c r="S3359" t="str">
        <f>"9780310515128"</f>
        <v>9780310515128</v>
      </c>
      <c r="T3359" t="str">
        <f>"9780310515135"</f>
        <v>9780310515135</v>
      </c>
      <c r="U3359" t="b">
        <v>0</v>
      </c>
      <c r="W3359" t="b">
        <v>0</v>
      </c>
    </row>
    <row r="3360" spans="1:23" x14ac:dyDescent="0.3">
      <c r="A3360">
        <v>1948439</v>
      </c>
      <c r="B3360">
        <v>189.72</v>
      </c>
      <c r="C3360" t="s">
        <v>8007</v>
      </c>
      <c r="D3360" t="s">
        <v>8008</v>
      </c>
      <c r="E3360" t="s">
        <v>49</v>
      </c>
      <c r="F3360" t="s">
        <v>106</v>
      </c>
      <c r="G3360">
        <v>2014</v>
      </c>
      <c r="H3360" t="s">
        <v>98</v>
      </c>
      <c r="I3360" t="s">
        <v>8009</v>
      </c>
      <c r="J3360" t="s">
        <v>895</v>
      </c>
      <c r="K3360" t="s">
        <v>25</v>
      </c>
      <c r="L3360" t="s">
        <v>26</v>
      </c>
      <c r="M3360" t="b">
        <v>1</v>
      </c>
      <c r="N3360" t="s">
        <v>8010</v>
      </c>
      <c r="O3360" t="str">
        <f>"227.1"</f>
        <v>227.1</v>
      </c>
      <c r="P3360" t="s">
        <v>8007</v>
      </c>
      <c r="Q3360" t="b">
        <v>0</v>
      </c>
      <c r="S3360" t="str">
        <f>"9780310330868"</f>
        <v>9780310330868</v>
      </c>
      <c r="T3360" t="str">
        <f>"9780310419501"</f>
        <v>9780310419501</v>
      </c>
      <c r="U3360" t="b">
        <v>0</v>
      </c>
      <c r="W3360" t="b">
        <v>0</v>
      </c>
    </row>
    <row r="3361" spans="1:23" x14ac:dyDescent="0.3">
      <c r="A3361">
        <v>1948438</v>
      </c>
      <c r="B3361">
        <v>34.47</v>
      </c>
      <c r="C3361" t="s">
        <v>8011</v>
      </c>
      <c r="D3361" t="s">
        <v>8012</v>
      </c>
      <c r="E3361" t="s">
        <v>49</v>
      </c>
      <c r="F3361" t="s">
        <v>44</v>
      </c>
      <c r="G3361">
        <v>2014</v>
      </c>
      <c r="H3361" t="s">
        <v>756</v>
      </c>
      <c r="K3361" t="s">
        <v>25</v>
      </c>
      <c r="L3361" t="s">
        <v>30</v>
      </c>
      <c r="M3361" t="b">
        <v>1</v>
      </c>
      <c r="N3361" t="s">
        <v>8013</v>
      </c>
      <c r="Q3361" t="b">
        <v>0</v>
      </c>
      <c r="S3361" t="str">
        <f>"9780310517351"</f>
        <v>9780310517351</v>
      </c>
      <c r="T3361" t="str">
        <f>"9780310517368"</f>
        <v>9780310517368</v>
      </c>
      <c r="U3361" t="b">
        <v>0</v>
      </c>
      <c r="W3361" t="b">
        <v>0</v>
      </c>
    </row>
    <row r="3362" spans="1:23" x14ac:dyDescent="0.3">
      <c r="A3362">
        <v>1948437</v>
      </c>
      <c r="B3362">
        <v>44.82</v>
      </c>
      <c r="C3362" t="s">
        <v>8014</v>
      </c>
      <c r="D3362" t="s">
        <v>8015</v>
      </c>
      <c r="E3362" t="s">
        <v>49</v>
      </c>
      <c r="F3362" t="s">
        <v>44</v>
      </c>
      <c r="G3362">
        <v>2014</v>
      </c>
      <c r="H3362" t="s">
        <v>3527</v>
      </c>
      <c r="K3362" t="s">
        <v>25</v>
      </c>
      <c r="L3362" t="s">
        <v>30</v>
      </c>
      <c r="M3362" t="b">
        <v>1</v>
      </c>
      <c r="N3362" t="s">
        <v>8016</v>
      </c>
      <c r="P3362" t="s">
        <v>7913</v>
      </c>
      <c r="Q3362" t="b">
        <v>0</v>
      </c>
      <c r="S3362" t="str">
        <f>"9780310517184"</f>
        <v>9780310517184</v>
      </c>
      <c r="T3362" t="str">
        <f>"9780310517191"</f>
        <v>9780310517191</v>
      </c>
      <c r="U3362" t="b">
        <v>0</v>
      </c>
      <c r="W3362" t="b">
        <v>0</v>
      </c>
    </row>
    <row r="3363" spans="1:23" x14ac:dyDescent="0.3">
      <c r="A3363">
        <v>1948436</v>
      </c>
      <c r="B3363">
        <v>44.82</v>
      </c>
      <c r="C3363" t="s">
        <v>8017</v>
      </c>
      <c r="D3363" t="s">
        <v>8018</v>
      </c>
      <c r="E3363" t="s">
        <v>49</v>
      </c>
      <c r="F3363" t="s">
        <v>44</v>
      </c>
      <c r="G3363">
        <v>2014</v>
      </c>
      <c r="H3363" t="s">
        <v>3527</v>
      </c>
      <c r="I3363" t="s">
        <v>8019</v>
      </c>
      <c r="J3363" t="s">
        <v>8020</v>
      </c>
      <c r="K3363" t="s">
        <v>25</v>
      </c>
      <c r="L3363" t="s">
        <v>30</v>
      </c>
      <c r="M3363" t="b">
        <v>1</v>
      </c>
      <c r="N3363" t="s">
        <v>7946</v>
      </c>
      <c r="O3363" t="str">
        <f>"253"</f>
        <v>253</v>
      </c>
      <c r="P3363" t="s">
        <v>7913</v>
      </c>
      <c r="Q3363" t="b">
        <v>0</v>
      </c>
      <c r="S3363" t="str">
        <f>"9780310517160"</f>
        <v>9780310517160</v>
      </c>
      <c r="T3363" t="str">
        <f>"9780310517177"</f>
        <v>9780310517177</v>
      </c>
      <c r="U3363" t="b">
        <v>0</v>
      </c>
      <c r="W3363" t="b">
        <v>0</v>
      </c>
    </row>
    <row r="3364" spans="1:23" x14ac:dyDescent="0.3">
      <c r="A3364">
        <v>1948435</v>
      </c>
      <c r="B3364">
        <v>44.82</v>
      </c>
      <c r="C3364" t="s">
        <v>8021</v>
      </c>
      <c r="D3364" t="s">
        <v>8022</v>
      </c>
      <c r="E3364" t="s">
        <v>49</v>
      </c>
      <c r="F3364" t="s">
        <v>44</v>
      </c>
      <c r="G3364">
        <v>2014</v>
      </c>
      <c r="H3364" t="s">
        <v>3527</v>
      </c>
      <c r="K3364" t="s">
        <v>25</v>
      </c>
      <c r="L3364" t="s">
        <v>30</v>
      </c>
      <c r="M3364" t="b">
        <v>1</v>
      </c>
      <c r="N3364" t="s">
        <v>7946</v>
      </c>
      <c r="P3364" t="s">
        <v>7913</v>
      </c>
      <c r="Q3364" t="b">
        <v>0</v>
      </c>
      <c r="S3364" t="str">
        <f>"9780310517146"</f>
        <v>9780310517146</v>
      </c>
      <c r="T3364" t="str">
        <f>"9780310517153"</f>
        <v>9780310517153</v>
      </c>
      <c r="U3364" t="b">
        <v>0</v>
      </c>
      <c r="W3364" t="b">
        <v>0</v>
      </c>
    </row>
    <row r="3365" spans="1:23" x14ac:dyDescent="0.3">
      <c r="A3365">
        <v>1948434</v>
      </c>
      <c r="B3365">
        <v>65.52</v>
      </c>
      <c r="C3365" t="s">
        <v>8023</v>
      </c>
      <c r="D3365" t="s">
        <v>8024</v>
      </c>
      <c r="E3365" t="s">
        <v>49</v>
      </c>
      <c r="F3365" t="s">
        <v>44</v>
      </c>
      <c r="G3365">
        <v>2014</v>
      </c>
      <c r="H3365" t="s">
        <v>50</v>
      </c>
      <c r="I3365" t="s">
        <v>7151</v>
      </c>
      <c r="J3365" t="s">
        <v>8025</v>
      </c>
      <c r="K3365" t="s">
        <v>25</v>
      </c>
      <c r="L3365" t="s">
        <v>30</v>
      </c>
      <c r="M3365" t="b">
        <v>1</v>
      </c>
      <c r="N3365" t="s">
        <v>8026</v>
      </c>
      <c r="O3365" t="str">
        <f>"259/.23"</f>
        <v>259/.23</v>
      </c>
      <c r="Q3365" t="b">
        <v>0</v>
      </c>
      <c r="S3365" t="str">
        <f>"9780310514848"</f>
        <v>9780310514848</v>
      </c>
      <c r="T3365" t="str">
        <f>"9780310514855"</f>
        <v>9780310514855</v>
      </c>
      <c r="U3365" t="b">
        <v>0</v>
      </c>
      <c r="W3365" t="b">
        <v>0</v>
      </c>
    </row>
    <row r="3366" spans="1:23" x14ac:dyDescent="0.3">
      <c r="A3366">
        <v>1948433</v>
      </c>
      <c r="B3366">
        <v>55.17</v>
      </c>
      <c r="C3366" t="s">
        <v>8027</v>
      </c>
      <c r="D3366" t="s">
        <v>8028</v>
      </c>
      <c r="E3366" t="s">
        <v>23</v>
      </c>
      <c r="F3366" t="s">
        <v>44</v>
      </c>
      <c r="G3366">
        <v>2013</v>
      </c>
      <c r="H3366" t="s">
        <v>58</v>
      </c>
      <c r="K3366" t="s">
        <v>25</v>
      </c>
      <c r="L3366" t="s">
        <v>30</v>
      </c>
      <c r="M3366" t="b">
        <v>1</v>
      </c>
      <c r="N3366" t="s">
        <v>795</v>
      </c>
      <c r="Q3366" t="b">
        <v>0</v>
      </c>
      <c r="S3366" t="str">
        <f>"9780310494874"</f>
        <v>9780310494874</v>
      </c>
      <c r="T3366" t="str">
        <f>"9780310494881"</f>
        <v>9780310494881</v>
      </c>
      <c r="U3366" t="b">
        <v>0</v>
      </c>
      <c r="W3366" t="b">
        <v>0</v>
      </c>
    </row>
    <row r="3367" spans="1:23" x14ac:dyDescent="0.3">
      <c r="A3367">
        <v>1948432</v>
      </c>
      <c r="B3367">
        <v>35.5</v>
      </c>
      <c r="C3367" t="s">
        <v>8029</v>
      </c>
      <c r="D3367" t="s">
        <v>8030</v>
      </c>
      <c r="E3367" t="s">
        <v>49</v>
      </c>
      <c r="F3367" t="s">
        <v>44</v>
      </c>
      <c r="G3367">
        <v>2013</v>
      </c>
      <c r="H3367" t="s">
        <v>804</v>
      </c>
      <c r="I3367" t="s">
        <v>6399</v>
      </c>
      <c r="J3367" t="s">
        <v>8031</v>
      </c>
      <c r="K3367" t="s">
        <v>25</v>
      </c>
      <c r="L3367" t="s">
        <v>26</v>
      </c>
      <c r="M3367" t="b">
        <v>1</v>
      </c>
      <c r="N3367" t="s">
        <v>4755</v>
      </c>
      <c r="O3367" t="str">
        <f>"259.089"</f>
        <v>259.089</v>
      </c>
      <c r="P3367" t="s">
        <v>4756</v>
      </c>
      <c r="Q3367" t="b">
        <v>0</v>
      </c>
      <c r="T3367" t="str">
        <f>"9780310514756"</f>
        <v>9780310514756</v>
      </c>
      <c r="U3367" t="b">
        <v>0</v>
      </c>
      <c r="W3367" t="b">
        <v>0</v>
      </c>
    </row>
    <row r="3368" spans="1:23" x14ac:dyDescent="0.3">
      <c r="A3368">
        <v>1948431</v>
      </c>
      <c r="B3368">
        <v>58.62</v>
      </c>
      <c r="C3368" t="s">
        <v>8032</v>
      </c>
      <c r="D3368" t="s">
        <v>8033</v>
      </c>
      <c r="E3368" t="s">
        <v>23</v>
      </c>
      <c r="F3368" t="s">
        <v>44</v>
      </c>
      <c r="G3368">
        <v>2013</v>
      </c>
      <c r="H3368" t="s">
        <v>3527</v>
      </c>
      <c r="I3368" t="s">
        <v>8034</v>
      </c>
      <c r="J3368" t="s">
        <v>8035</v>
      </c>
      <c r="K3368" t="s">
        <v>25</v>
      </c>
      <c r="L3368" t="s">
        <v>30</v>
      </c>
      <c r="M3368" t="b">
        <v>1</v>
      </c>
      <c r="N3368" t="s">
        <v>8036</v>
      </c>
      <c r="O3368" t="str">
        <f>"253/.22"</f>
        <v>253/.22</v>
      </c>
      <c r="Q3368" t="b">
        <v>0</v>
      </c>
      <c r="S3368" t="str">
        <f>"9780310495093"</f>
        <v>9780310495093</v>
      </c>
      <c r="T3368" t="str">
        <f>"9780310495109"</f>
        <v>9780310495109</v>
      </c>
      <c r="U3368" t="b">
        <v>0</v>
      </c>
      <c r="W3368" t="b">
        <v>0</v>
      </c>
    </row>
    <row r="3369" spans="1:23" x14ac:dyDescent="0.3">
      <c r="A3369">
        <v>1948430</v>
      </c>
      <c r="B3369">
        <v>58.62</v>
      </c>
      <c r="C3369" t="s">
        <v>8037</v>
      </c>
      <c r="D3369" t="s">
        <v>8038</v>
      </c>
      <c r="E3369" t="s">
        <v>49</v>
      </c>
      <c r="F3369" t="s">
        <v>44</v>
      </c>
      <c r="G3369">
        <v>2013</v>
      </c>
      <c r="H3369" t="s">
        <v>1122</v>
      </c>
      <c r="K3369" t="s">
        <v>25</v>
      </c>
      <c r="L3369" t="s">
        <v>30</v>
      </c>
      <c r="M3369" t="b">
        <v>1</v>
      </c>
      <c r="N3369" t="s">
        <v>8039</v>
      </c>
      <c r="Q3369" t="b">
        <v>0</v>
      </c>
      <c r="S3369" t="str">
        <f>"9780310494829"</f>
        <v>9780310494829</v>
      </c>
      <c r="T3369" t="str">
        <f>"9780310494836"</f>
        <v>9780310494836</v>
      </c>
      <c r="U3369" t="b">
        <v>0</v>
      </c>
      <c r="W3369" t="b">
        <v>0</v>
      </c>
    </row>
    <row r="3370" spans="1:23" x14ac:dyDescent="0.3">
      <c r="A3370">
        <v>1948429</v>
      </c>
      <c r="B3370">
        <v>62.07</v>
      </c>
      <c r="C3370" t="s">
        <v>8040</v>
      </c>
      <c r="D3370" t="s">
        <v>8041</v>
      </c>
      <c r="E3370" t="s">
        <v>49</v>
      </c>
      <c r="F3370" t="s">
        <v>44</v>
      </c>
      <c r="G3370">
        <v>2013</v>
      </c>
      <c r="H3370" t="s">
        <v>99</v>
      </c>
      <c r="I3370" t="s">
        <v>8042</v>
      </c>
      <c r="J3370" t="s">
        <v>8043</v>
      </c>
      <c r="K3370" t="s">
        <v>25</v>
      </c>
      <c r="L3370" t="s">
        <v>30</v>
      </c>
      <c r="M3370" t="b">
        <v>1</v>
      </c>
      <c r="N3370" t="s">
        <v>6915</v>
      </c>
      <c r="O3370" t="str">
        <f>"248.4/6"</f>
        <v>248.4/6</v>
      </c>
      <c r="Q3370" t="b">
        <v>0</v>
      </c>
      <c r="S3370" t="str">
        <f>"9780310499251"</f>
        <v>9780310499251</v>
      </c>
      <c r="T3370" t="str">
        <f>"9780310499268"</f>
        <v>9780310499268</v>
      </c>
      <c r="U3370" t="b">
        <v>0</v>
      </c>
      <c r="W3370" t="b">
        <v>0</v>
      </c>
    </row>
    <row r="3371" spans="1:23" x14ac:dyDescent="0.3">
      <c r="A3371">
        <v>1948428</v>
      </c>
      <c r="B3371">
        <v>46.16</v>
      </c>
      <c r="C3371" t="s">
        <v>8044</v>
      </c>
      <c r="D3371" t="s">
        <v>8045</v>
      </c>
      <c r="E3371" t="s">
        <v>23</v>
      </c>
      <c r="F3371" t="s">
        <v>44</v>
      </c>
      <c r="G3371">
        <v>2013</v>
      </c>
      <c r="H3371" t="s">
        <v>756</v>
      </c>
      <c r="I3371" t="s">
        <v>8046</v>
      </c>
      <c r="J3371" t="s">
        <v>8047</v>
      </c>
      <c r="K3371" t="s">
        <v>25</v>
      </c>
      <c r="L3371" t="s">
        <v>30</v>
      </c>
      <c r="M3371" t="b">
        <v>1</v>
      </c>
      <c r="N3371" t="s">
        <v>6419</v>
      </c>
      <c r="O3371" t="str">
        <f>"261.5/7"</f>
        <v>261.5/7</v>
      </c>
      <c r="Q3371" t="b">
        <v>0</v>
      </c>
      <c r="S3371" t="str">
        <f>"9780310494966"</f>
        <v>9780310494966</v>
      </c>
      <c r="T3371" t="str">
        <f>"9780310494973"</f>
        <v>9780310494973</v>
      </c>
      <c r="U3371" t="b">
        <v>0</v>
      </c>
      <c r="W3371" t="b">
        <v>0</v>
      </c>
    </row>
    <row r="3372" spans="1:23" x14ac:dyDescent="0.3">
      <c r="A3372">
        <v>1948427</v>
      </c>
      <c r="B3372">
        <v>3.52</v>
      </c>
      <c r="C3372" t="s">
        <v>8048</v>
      </c>
      <c r="E3372" t="s">
        <v>49</v>
      </c>
      <c r="F3372" t="s">
        <v>44</v>
      </c>
      <c r="G3372">
        <v>2012</v>
      </c>
      <c r="H3372" t="s">
        <v>6402</v>
      </c>
      <c r="I3372" t="s">
        <v>8049</v>
      </c>
      <c r="J3372" t="s">
        <v>8050</v>
      </c>
      <c r="K3372" t="s">
        <v>25</v>
      </c>
      <c r="L3372" t="s">
        <v>30</v>
      </c>
      <c r="M3372" t="b">
        <v>1</v>
      </c>
      <c r="N3372" t="s">
        <v>8051</v>
      </c>
      <c r="O3372" t="str">
        <f>"289.309"</f>
        <v>289.309</v>
      </c>
      <c r="P3372" t="s">
        <v>8052</v>
      </c>
      <c r="Q3372" t="b">
        <v>0</v>
      </c>
      <c r="T3372" t="str">
        <f>"9780310514060"</f>
        <v>9780310514060</v>
      </c>
      <c r="U3372" t="b">
        <v>0</v>
      </c>
      <c r="W3372" t="b">
        <v>0</v>
      </c>
    </row>
    <row r="3373" spans="1:23" x14ac:dyDescent="0.3">
      <c r="A3373">
        <v>1948426</v>
      </c>
      <c r="B3373">
        <v>7.07</v>
      </c>
      <c r="C3373" t="s">
        <v>8053</v>
      </c>
      <c r="D3373" t="s">
        <v>6489</v>
      </c>
      <c r="E3373" t="s">
        <v>23</v>
      </c>
      <c r="F3373" t="s">
        <v>44</v>
      </c>
      <c r="G3373">
        <v>2012</v>
      </c>
      <c r="H3373" t="s">
        <v>71</v>
      </c>
      <c r="I3373" t="s">
        <v>8054</v>
      </c>
      <c r="J3373" t="s">
        <v>8055</v>
      </c>
      <c r="K3373" t="s">
        <v>25</v>
      </c>
      <c r="L3373" t="s">
        <v>30</v>
      </c>
      <c r="M3373" t="b">
        <v>1</v>
      </c>
      <c r="N3373" t="s">
        <v>8056</v>
      </c>
      <c r="O3373" t="str">
        <f>"235.47"</f>
        <v>235.47</v>
      </c>
      <c r="P3373" t="s">
        <v>7134</v>
      </c>
      <c r="Q3373" t="b">
        <v>0</v>
      </c>
      <c r="T3373" t="str">
        <f>"9780310499770"</f>
        <v>9780310499770</v>
      </c>
      <c r="U3373" t="b">
        <v>0</v>
      </c>
      <c r="W3373" t="b">
        <v>0</v>
      </c>
    </row>
    <row r="3374" spans="1:23" x14ac:dyDescent="0.3">
      <c r="A3374">
        <v>1948425</v>
      </c>
      <c r="B3374">
        <v>7.07</v>
      </c>
      <c r="C3374" t="s">
        <v>8057</v>
      </c>
      <c r="D3374" t="s">
        <v>6489</v>
      </c>
      <c r="E3374" t="s">
        <v>49</v>
      </c>
      <c r="F3374" t="s">
        <v>106</v>
      </c>
      <c r="G3374">
        <v>2012</v>
      </c>
      <c r="H3374" t="s">
        <v>3423</v>
      </c>
      <c r="K3374" t="s">
        <v>25</v>
      </c>
      <c r="L3374" t="s">
        <v>30</v>
      </c>
      <c r="M3374" t="b">
        <v>1</v>
      </c>
      <c r="N3374" t="s">
        <v>7106</v>
      </c>
      <c r="Q3374" t="b">
        <v>0</v>
      </c>
      <c r="T3374" t="str">
        <f>"9780310496243"</f>
        <v>9780310496243</v>
      </c>
      <c r="U3374" t="b">
        <v>0</v>
      </c>
      <c r="W3374" t="b">
        <v>0</v>
      </c>
    </row>
    <row r="3375" spans="1:23" x14ac:dyDescent="0.3">
      <c r="A3375">
        <v>1948424</v>
      </c>
      <c r="B3375">
        <v>7.07</v>
      </c>
      <c r="C3375" t="s">
        <v>8058</v>
      </c>
      <c r="D3375" t="s">
        <v>6489</v>
      </c>
      <c r="E3375" t="s">
        <v>49</v>
      </c>
      <c r="F3375" t="s">
        <v>106</v>
      </c>
      <c r="G3375">
        <v>2012</v>
      </c>
      <c r="H3375" t="s">
        <v>881</v>
      </c>
      <c r="K3375" t="s">
        <v>25</v>
      </c>
      <c r="L3375" t="s">
        <v>30</v>
      </c>
      <c r="M3375" t="b">
        <v>1</v>
      </c>
      <c r="N3375" t="s">
        <v>8059</v>
      </c>
      <c r="Q3375" t="b">
        <v>0</v>
      </c>
      <c r="T3375" t="str">
        <f>"9780310496151"</f>
        <v>9780310496151</v>
      </c>
      <c r="U3375" t="b">
        <v>0</v>
      </c>
      <c r="W3375" t="b">
        <v>0</v>
      </c>
    </row>
    <row r="3376" spans="1:23" x14ac:dyDescent="0.3">
      <c r="A3376">
        <v>1948423</v>
      </c>
      <c r="B3376">
        <v>35.5</v>
      </c>
      <c r="C3376" t="s">
        <v>8060</v>
      </c>
      <c r="D3376" t="s">
        <v>8061</v>
      </c>
      <c r="E3376" t="s">
        <v>49</v>
      </c>
      <c r="F3376" t="s">
        <v>44</v>
      </c>
      <c r="G3376">
        <v>2013</v>
      </c>
      <c r="H3376" t="s">
        <v>52</v>
      </c>
      <c r="I3376" t="s">
        <v>8062</v>
      </c>
      <c r="J3376" t="s">
        <v>8063</v>
      </c>
      <c r="K3376" t="s">
        <v>25</v>
      </c>
      <c r="L3376" t="s">
        <v>30</v>
      </c>
      <c r="M3376" t="b">
        <v>1</v>
      </c>
      <c r="N3376" t="s">
        <v>3424</v>
      </c>
      <c r="O3376" t="str">
        <f>"248.8/629"</f>
        <v>248.8/629</v>
      </c>
      <c r="P3376" t="s">
        <v>2351</v>
      </c>
      <c r="Q3376" t="b">
        <v>0</v>
      </c>
      <c r="S3376" t="str">
        <f>"9780310694779"</f>
        <v>9780310694779</v>
      </c>
      <c r="T3376" t="str">
        <f>"9780310694786"</f>
        <v>9780310694786</v>
      </c>
      <c r="U3376" t="b">
        <v>0</v>
      </c>
      <c r="W3376" t="b">
        <v>0</v>
      </c>
    </row>
    <row r="3377" spans="1:23" x14ac:dyDescent="0.3">
      <c r="A3377">
        <v>1948422</v>
      </c>
      <c r="B3377">
        <v>65.52</v>
      </c>
      <c r="C3377" t="s">
        <v>8064</v>
      </c>
      <c r="D3377" t="s">
        <v>8065</v>
      </c>
      <c r="E3377" t="s">
        <v>49</v>
      </c>
      <c r="F3377" t="s">
        <v>44</v>
      </c>
      <c r="G3377">
        <v>2013</v>
      </c>
      <c r="H3377" t="s">
        <v>1122</v>
      </c>
      <c r="I3377" t="s">
        <v>5779</v>
      </c>
      <c r="J3377" t="s">
        <v>7869</v>
      </c>
      <c r="K3377" t="s">
        <v>25</v>
      </c>
      <c r="L3377" t="s">
        <v>30</v>
      </c>
      <c r="M3377" t="b">
        <v>1</v>
      </c>
      <c r="N3377" t="s">
        <v>8066</v>
      </c>
      <c r="O3377" t="str">
        <f>"253"</f>
        <v>253</v>
      </c>
      <c r="P3377" t="s">
        <v>4756</v>
      </c>
      <c r="Q3377" t="b">
        <v>0</v>
      </c>
      <c r="S3377" t="str">
        <f>"9780310490678"</f>
        <v>9780310490678</v>
      </c>
      <c r="T3377" t="str">
        <f>"9780310490685"</f>
        <v>9780310490685</v>
      </c>
      <c r="U3377" t="b">
        <v>0</v>
      </c>
      <c r="W3377" t="b">
        <v>0</v>
      </c>
    </row>
    <row r="3378" spans="1:23" x14ac:dyDescent="0.3">
      <c r="A3378">
        <v>1948421</v>
      </c>
      <c r="B3378">
        <v>62.07</v>
      </c>
      <c r="C3378" t="s">
        <v>8067</v>
      </c>
      <c r="D3378" t="s">
        <v>8068</v>
      </c>
      <c r="E3378" t="s">
        <v>49</v>
      </c>
      <c r="F3378" t="s">
        <v>44</v>
      </c>
      <c r="G3378">
        <v>2012</v>
      </c>
      <c r="H3378" t="s">
        <v>50</v>
      </c>
      <c r="I3378" t="s">
        <v>7151</v>
      </c>
      <c r="J3378" t="s">
        <v>895</v>
      </c>
      <c r="K3378" t="s">
        <v>25</v>
      </c>
      <c r="L3378" t="s">
        <v>30</v>
      </c>
      <c r="M3378" t="b">
        <v>1</v>
      </c>
      <c r="N3378" t="s">
        <v>8069</v>
      </c>
      <c r="O3378" t="str">
        <f>"259/.23"</f>
        <v>259/.23</v>
      </c>
      <c r="P3378" t="s">
        <v>7172</v>
      </c>
      <c r="Q3378" t="b">
        <v>0</v>
      </c>
      <c r="S3378" t="str">
        <f>"9780310890294"</f>
        <v>9780310890294</v>
      </c>
      <c r="T3378" t="str">
        <f>"9780310890300"</f>
        <v>9780310890300</v>
      </c>
      <c r="U3378" t="b">
        <v>0</v>
      </c>
      <c r="W3378" t="b">
        <v>0</v>
      </c>
    </row>
    <row r="3379" spans="1:23" x14ac:dyDescent="0.3">
      <c r="A3379">
        <v>1948419</v>
      </c>
      <c r="B3379">
        <v>68.97</v>
      </c>
      <c r="C3379" t="s">
        <v>8070</v>
      </c>
      <c r="E3379" t="s">
        <v>49</v>
      </c>
      <c r="F3379" t="s">
        <v>44</v>
      </c>
      <c r="G3379">
        <v>2011</v>
      </c>
      <c r="H3379" t="s">
        <v>50</v>
      </c>
      <c r="I3379" t="s">
        <v>7519</v>
      </c>
      <c r="J3379" t="s">
        <v>7520</v>
      </c>
      <c r="K3379" t="s">
        <v>25</v>
      </c>
      <c r="L3379" t="s">
        <v>26</v>
      </c>
      <c r="M3379" t="b">
        <v>1</v>
      </c>
      <c r="N3379" t="s">
        <v>7356</v>
      </c>
      <c r="O3379" t="str">
        <f>"790.1/922"</f>
        <v>790.1/922</v>
      </c>
      <c r="P3379" t="s">
        <v>7484</v>
      </c>
      <c r="Q3379" t="b">
        <v>0</v>
      </c>
      <c r="S3379" t="str">
        <f>"9780310220312"</f>
        <v>9780310220312</v>
      </c>
      <c r="T3379" t="str">
        <f>"9780310862130"</f>
        <v>9780310862130</v>
      </c>
      <c r="U3379" t="b">
        <v>0</v>
      </c>
      <c r="W3379" t="b">
        <v>0</v>
      </c>
    </row>
    <row r="3380" spans="1:23" x14ac:dyDescent="0.3">
      <c r="A3380">
        <v>1948418</v>
      </c>
      <c r="B3380">
        <v>42.61</v>
      </c>
      <c r="C3380" t="s">
        <v>8071</v>
      </c>
      <c r="D3380" t="s">
        <v>8072</v>
      </c>
      <c r="E3380" t="s">
        <v>23</v>
      </c>
      <c r="F3380" t="s">
        <v>44</v>
      </c>
      <c r="G3380">
        <v>2009</v>
      </c>
      <c r="H3380" t="s">
        <v>734</v>
      </c>
      <c r="K3380" t="s">
        <v>25</v>
      </c>
      <c r="L3380" t="s">
        <v>30</v>
      </c>
      <c r="M3380" t="b">
        <v>1</v>
      </c>
      <c r="N3380" t="s">
        <v>8073</v>
      </c>
      <c r="Q3380" t="b">
        <v>0</v>
      </c>
      <c r="S3380" t="str">
        <f>"9780310291541"</f>
        <v>9780310291541</v>
      </c>
      <c r="T3380" t="str">
        <f>"9780310590491"</f>
        <v>9780310590491</v>
      </c>
      <c r="U3380" t="b">
        <v>0</v>
      </c>
      <c r="W3380" t="b">
        <v>0</v>
      </c>
    </row>
    <row r="3381" spans="1:23" x14ac:dyDescent="0.3">
      <c r="A3381">
        <v>1948417</v>
      </c>
      <c r="B3381">
        <v>65.52</v>
      </c>
      <c r="C3381" t="s">
        <v>8074</v>
      </c>
      <c r="D3381" t="s">
        <v>8075</v>
      </c>
      <c r="E3381" t="s">
        <v>49</v>
      </c>
      <c r="F3381" t="s">
        <v>44</v>
      </c>
      <c r="G3381">
        <v>2012</v>
      </c>
      <c r="H3381" t="s">
        <v>751</v>
      </c>
      <c r="I3381" t="s">
        <v>8076</v>
      </c>
      <c r="J3381" t="s">
        <v>8077</v>
      </c>
      <c r="K3381" t="s">
        <v>25</v>
      </c>
      <c r="L3381" t="s">
        <v>30</v>
      </c>
      <c r="M3381" t="b">
        <v>1</v>
      </c>
      <c r="N3381" t="s">
        <v>8078</v>
      </c>
      <c r="O3381" t="str">
        <f>"266"</f>
        <v>266</v>
      </c>
      <c r="P3381" t="s">
        <v>5851</v>
      </c>
      <c r="Q3381" t="b">
        <v>0</v>
      </c>
      <c r="S3381" t="str">
        <f>"9780310495055"</f>
        <v>9780310495055</v>
      </c>
      <c r="T3381" t="str">
        <f>"9780310495062"</f>
        <v>9780310495062</v>
      </c>
      <c r="U3381" t="b">
        <v>0</v>
      </c>
      <c r="W3381" t="b">
        <v>0</v>
      </c>
    </row>
    <row r="3382" spans="1:23" x14ac:dyDescent="0.3">
      <c r="A3382">
        <v>1948416</v>
      </c>
      <c r="B3382">
        <v>58.62</v>
      </c>
      <c r="C3382" t="s">
        <v>8079</v>
      </c>
      <c r="D3382" t="s">
        <v>8080</v>
      </c>
      <c r="E3382" t="s">
        <v>23</v>
      </c>
      <c r="F3382" t="s">
        <v>44</v>
      </c>
      <c r="G3382">
        <v>2012</v>
      </c>
      <c r="H3382" t="s">
        <v>58</v>
      </c>
      <c r="K3382" t="s">
        <v>25</v>
      </c>
      <c r="L3382" t="s">
        <v>30</v>
      </c>
      <c r="M3382" t="b">
        <v>1</v>
      </c>
      <c r="N3382" t="s">
        <v>6415</v>
      </c>
      <c r="Q3382" t="b">
        <v>0</v>
      </c>
      <c r="S3382" t="str">
        <f>"9780310494447"</f>
        <v>9780310494447</v>
      </c>
      <c r="T3382" t="str">
        <f>"9780310494454"</f>
        <v>9780310494454</v>
      </c>
      <c r="U3382" t="b">
        <v>0</v>
      </c>
      <c r="W3382" t="b">
        <v>0</v>
      </c>
    </row>
    <row r="3383" spans="1:23" x14ac:dyDescent="0.3">
      <c r="A3383">
        <v>1948415</v>
      </c>
      <c r="B3383">
        <v>10.63</v>
      </c>
      <c r="C3383" t="s">
        <v>8081</v>
      </c>
      <c r="D3383" t="s">
        <v>6489</v>
      </c>
      <c r="E3383" t="s">
        <v>49</v>
      </c>
      <c r="F3383" t="s">
        <v>106</v>
      </c>
      <c r="G3383">
        <v>2012</v>
      </c>
      <c r="H3383" t="s">
        <v>70</v>
      </c>
      <c r="K3383" t="s">
        <v>25</v>
      </c>
      <c r="L3383" t="s">
        <v>30</v>
      </c>
      <c r="M3383" t="b">
        <v>1</v>
      </c>
      <c r="N3383" t="s">
        <v>8082</v>
      </c>
      <c r="Q3383" t="b">
        <v>0</v>
      </c>
      <c r="T3383" t="str">
        <f>"9780310496502"</f>
        <v>9780310496502</v>
      </c>
      <c r="U3383" t="b">
        <v>0</v>
      </c>
      <c r="W3383" t="b">
        <v>0</v>
      </c>
    </row>
    <row r="3384" spans="1:23" x14ac:dyDescent="0.3">
      <c r="A3384">
        <v>1948414</v>
      </c>
      <c r="B3384">
        <v>10.63</v>
      </c>
      <c r="C3384" t="s">
        <v>8083</v>
      </c>
      <c r="D3384" t="s">
        <v>6489</v>
      </c>
      <c r="E3384" t="s">
        <v>49</v>
      </c>
      <c r="F3384" t="s">
        <v>106</v>
      </c>
      <c r="G3384">
        <v>2012</v>
      </c>
      <c r="H3384" t="s">
        <v>1219</v>
      </c>
      <c r="K3384" t="s">
        <v>25</v>
      </c>
      <c r="L3384" t="s">
        <v>30</v>
      </c>
      <c r="M3384" t="b">
        <v>1</v>
      </c>
      <c r="N3384" t="s">
        <v>8084</v>
      </c>
      <c r="Q3384" t="b">
        <v>0</v>
      </c>
      <c r="T3384" t="str">
        <f>"9780310496441"</f>
        <v>9780310496441</v>
      </c>
      <c r="U3384" t="b">
        <v>0</v>
      </c>
      <c r="W3384" t="b">
        <v>0</v>
      </c>
    </row>
    <row r="3385" spans="1:23" x14ac:dyDescent="0.3">
      <c r="A3385">
        <v>1948413</v>
      </c>
      <c r="B3385">
        <v>10.63</v>
      </c>
      <c r="C3385" t="s">
        <v>8085</v>
      </c>
      <c r="D3385" t="s">
        <v>6489</v>
      </c>
      <c r="E3385" t="s">
        <v>49</v>
      </c>
      <c r="F3385" t="s">
        <v>106</v>
      </c>
      <c r="G3385">
        <v>2012</v>
      </c>
      <c r="H3385" t="s">
        <v>115</v>
      </c>
      <c r="K3385" t="s">
        <v>25</v>
      </c>
      <c r="L3385" t="s">
        <v>30</v>
      </c>
      <c r="M3385" t="b">
        <v>1</v>
      </c>
      <c r="N3385" t="s">
        <v>946</v>
      </c>
      <c r="Q3385" t="b">
        <v>0</v>
      </c>
      <c r="T3385" t="str">
        <f>"9780310496229"</f>
        <v>9780310496229</v>
      </c>
      <c r="U3385" t="b">
        <v>0</v>
      </c>
      <c r="W3385" t="b">
        <v>0</v>
      </c>
    </row>
    <row r="3386" spans="1:23" x14ac:dyDescent="0.3">
      <c r="A3386">
        <v>1948412</v>
      </c>
      <c r="B3386">
        <v>10.63</v>
      </c>
      <c r="C3386" t="s">
        <v>8086</v>
      </c>
      <c r="D3386" t="s">
        <v>6489</v>
      </c>
      <c r="E3386" t="s">
        <v>23</v>
      </c>
      <c r="F3386" t="s">
        <v>106</v>
      </c>
      <c r="G3386">
        <v>2012</v>
      </c>
      <c r="H3386" t="s">
        <v>107</v>
      </c>
      <c r="K3386" t="s">
        <v>25</v>
      </c>
      <c r="L3386" t="s">
        <v>30</v>
      </c>
      <c r="M3386" t="b">
        <v>1</v>
      </c>
      <c r="N3386" t="s">
        <v>946</v>
      </c>
      <c r="Q3386" t="b">
        <v>0</v>
      </c>
      <c r="T3386" t="str">
        <f>"9780310496182"</f>
        <v>9780310496182</v>
      </c>
      <c r="U3386" t="b">
        <v>0</v>
      </c>
      <c r="W3386" t="b">
        <v>0</v>
      </c>
    </row>
    <row r="3387" spans="1:23" x14ac:dyDescent="0.3">
      <c r="A3387">
        <v>1948411</v>
      </c>
      <c r="B3387">
        <v>10.63</v>
      </c>
      <c r="C3387" t="s">
        <v>8087</v>
      </c>
      <c r="D3387" t="s">
        <v>6489</v>
      </c>
      <c r="E3387" t="s">
        <v>49</v>
      </c>
      <c r="F3387" t="s">
        <v>44</v>
      </c>
      <c r="G3387">
        <v>2012</v>
      </c>
      <c r="H3387" t="s">
        <v>739</v>
      </c>
      <c r="K3387" t="s">
        <v>25</v>
      </c>
      <c r="L3387" t="s">
        <v>30</v>
      </c>
      <c r="M3387" t="b">
        <v>1</v>
      </c>
      <c r="N3387" t="s">
        <v>8088</v>
      </c>
      <c r="Q3387" t="b">
        <v>0</v>
      </c>
      <c r="T3387" t="str">
        <f>"9780310496175"</f>
        <v>9780310496175</v>
      </c>
      <c r="U3387" t="b">
        <v>0</v>
      </c>
      <c r="W3387" t="b">
        <v>0</v>
      </c>
    </row>
    <row r="3388" spans="1:23" x14ac:dyDescent="0.3">
      <c r="A3388">
        <v>1948410</v>
      </c>
      <c r="B3388">
        <v>10.63</v>
      </c>
      <c r="C3388" t="s">
        <v>8089</v>
      </c>
      <c r="D3388" t="s">
        <v>6489</v>
      </c>
      <c r="E3388" t="s">
        <v>49</v>
      </c>
      <c r="F3388" t="s">
        <v>106</v>
      </c>
      <c r="G3388">
        <v>2012</v>
      </c>
      <c r="H3388" t="s">
        <v>830</v>
      </c>
      <c r="I3388" t="s">
        <v>6573</v>
      </c>
      <c r="J3388" t="s">
        <v>895</v>
      </c>
      <c r="K3388" t="s">
        <v>25</v>
      </c>
      <c r="L3388" t="s">
        <v>30</v>
      </c>
      <c r="M3388" t="b">
        <v>1</v>
      </c>
      <c r="N3388" t="s">
        <v>8090</v>
      </c>
      <c r="O3388" t="str">
        <f>"225.6/1"</f>
        <v>225.6/1</v>
      </c>
      <c r="Q3388" t="b">
        <v>0</v>
      </c>
      <c r="T3388" t="str">
        <f>"9780310496168"</f>
        <v>9780310496168</v>
      </c>
      <c r="U3388" t="b">
        <v>0</v>
      </c>
      <c r="W3388" t="b">
        <v>0</v>
      </c>
    </row>
    <row r="3389" spans="1:23" x14ac:dyDescent="0.3">
      <c r="A3389">
        <v>1948409</v>
      </c>
      <c r="B3389">
        <v>65.52</v>
      </c>
      <c r="C3389" t="s">
        <v>8091</v>
      </c>
      <c r="D3389" t="s">
        <v>8092</v>
      </c>
      <c r="E3389" t="s">
        <v>49</v>
      </c>
      <c r="F3389" t="s">
        <v>44</v>
      </c>
      <c r="G3389">
        <v>2012</v>
      </c>
      <c r="H3389" t="s">
        <v>804</v>
      </c>
      <c r="I3389" t="s">
        <v>6694</v>
      </c>
      <c r="J3389" t="s">
        <v>6695</v>
      </c>
      <c r="K3389" t="s">
        <v>25</v>
      </c>
      <c r="L3389" t="s">
        <v>30</v>
      </c>
      <c r="M3389" t="b">
        <v>1</v>
      </c>
      <c r="N3389" t="s">
        <v>8093</v>
      </c>
      <c r="O3389" t="str">
        <f>"253/.2"</f>
        <v>253/.2</v>
      </c>
      <c r="P3389" t="s">
        <v>5851</v>
      </c>
      <c r="Q3389" t="b">
        <v>0</v>
      </c>
      <c r="S3389" t="str">
        <f>"9780310494546"</f>
        <v>9780310494546</v>
      </c>
      <c r="T3389" t="str">
        <f>"9780310494553"</f>
        <v>9780310494553</v>
      </c>
      <c r="U3389" t="b">
        <v>0</v>
      </c>
      <c r="W3389" t="b">
        <v>0</v>
      </c>
    </row>
    <row r="3390" spans="1:23" x14ac:dyDescent="0.3">
      <c r="A3390">
        <v>1948408</v>
      </c>
      <c r="B3390">
        <v>71.03</v>
      </c>
      <c r="C3390" t="s">
        <v>8094</v>
      </c>
      <c r="D3390" t="s">
        <v>3221</v>
      </c>
      <c r="E3390" t="s">
        <v>49</v>
      </c>
      <c r="F3390" t="s">
        <v>106</v>
      </c>
      <c r="G3390">
        <v>2010</v>
      </c>
      <c r="H3390" t="s">
        <v>58</v>
      </c>
      <c r="I3390" t="s">
        <v>3222</v>
      </c>
      <c r="J3390" t="s">
        <v>895</v>
      </c>
      <c r="K3390" t="s">
        <v>25</v>
      </c>
      <c r="L3390" t="s">
        <v>30</v>
      </c>
      <c r="M3390" t="b">
        <v>1</v>
      </c>
      <c r="N3390" t="s">
        <v>44</v>
      </c>
      <c r="O3390" t="str">
        <f>"234.13"</f>
        <v>234.13</v>
      </c>
      <c r="Q3390" t="b">
        <v>0</v>
      </c>
      <c r="S3390" t="str">
        <f>"9780310211273"</f>
        <v>9780310211273</v>
      </c>
      <c r="T3390" t="str">
        <f>"9780310873914"</f>
        <v>9780310873914</v>
      </c>
      <c r="U3390" t="b">
        <v>0</v>
      </c>
      <c r="W3390" t="b">
        <v>0</v>
      </c>
    </row>
    <row r="3391" spans="1:23" x14ac:dyDescent="0.3">
      <c r="A3391">
        <v>1948407</v>
      </c>
      <c r="B3391">
        <v>58.62</v>
      </c>
      <c r="C3391" t="s">
        <v>8095</v>
      </c>
      <c r="D3391" t="s">
        <v>8096</v>
      </c>
      <c r="E3391" t="s">
        <v>49</v>
      </c>
      <c r="F3391" t="s">
        <v>44</v>
      </c>
      <c r="G3391">
        <v>2012</v>
      </c>
      <c r="H3391" t="s">
        <v>2333</v>
      </c>
      <c r="I3391" t="s">
        <v>8097</v>
      </c>
      <c r="J3391" t="s">
        <v>8098</v>
      </c>
      <c r="K3391" t="s">
        <v>25</v>
      </c>
      <c r="L3391" t="s">
        <v>30</v>
      </c>
      <c r="M3391" t="b">
        <v>1</v>
      </c>
      <c r="N3391" t="s">
        <v>8099</v>
      </c>
      <c r="O3391" t="str">
        <f>"248/.6"</f>
        <v>248/.6</v>
      </c>
      <c r="P3391" t="s">
        <v>4756</v>
      </c>
      <c r="Q3391" t="b">
        <v>0</v>
      </c>
      <c r="S3391" t="str">
        <f>"9780310893134"</f>
        <v>9780310893134</v>
      </c>
      <c r="T3391" t="str">
        <f>"9780310893141"</f>
        <v>9780310893141</v>
      </c>
      <c r="U3391" t="b">
        <v>0</v>
      </c>
      <c r="W3391" t="b">
        <v>0</v>
      </c>
    </row>
    <row r="3392" spans="1:23" x14ac:dyDescent="0.3">
      <c r="A3392">
        <v>1948406</v>
      </c>
      <c r="B3392">
        <v>65.52</v>
      </c>
      <c r="C3392" t="s">
        <v>8100</v>
      </c>
      <c r="D3392" t="s">
        <v>8101</v>
      </c>
      <c r="E3392" t="s">
        <v>49</v>
      </c>
      <c r="F3392" t="s">
        <v>44</v>
      </c>
      <c r="G3392">
        <v>2012</v>
      </c>
      <c r="H3392" t="s">
        <v>804</v>
      </c>
      <c r="I3392" t="s">
        <v>8102</v>
      </c>
      <c r="J3392" t="s">
        <v>8103</v>
      </c>
      <c r="K3392" t="s">
        <v>25</v>
      </c>
      <c r="L3392" t="s">
        <v>30</v>
      </c>
      <c r="M3392" t="b">
        <v>1</v>
      </c>
      <c r="N3392" t="s">
        <v>8104</v>
      </c>
      <c r="O3392" t="str">
        <f>"248.8/92"</f>
        <v>248.8/92</v>
      </c>
      <c r="P3392" t="s">
        <v>5851</v>
      </c>
      <c r="Q3392" t="b">
        <v>0</v>
      </c>
      <c r="S3392" t="str">
        <f>"9780310494478"</f>
        <v>9780310494478</v>
      </c>
      <c r="T3392" t="str">
        <f>"9780310494485"</f>
        <v>9780310494485</v>
      </c>
      <c r="U3392" t="b">
        <v>0</v>
      </c>
      <c r="W3392" t="b">
        <v>0</v>
      </c>
    </row>
    <row r="3393" spans="1:23" x14ac:dyDescent="0.3">
      <c r="A3393">
        <v>1948405</v>
      </c>
      <c r="B3393">
        <v>58.62</v>
      </c>
      <c r="C3393" t="s">
        <v>8105</v>
      </c>
      <c r="D3393" t="s">
        <v>8106</v>
      </c>
      <c r="E3393" t="s">
        <v>49</v>
      </c>
      <c r="F3393" t="s">
        <v>44</v>
      </c>
      <c r="G3393">
        <v>2012</v>
      </c>
      <c r="H3393" t="s">
        <v>804</v>
      </c>
      <c r="I3393" t="s">
        <v>3448</v>
      </c>
      <c r="J3393" t="s">
        <v>8107</v>
      </c>
      <c r="K3393" t="s">
        <v>25</v>
      </c>
      <c r="L3393" t="s">
        <v>26</v>
      </c>
      <c r="M3393" t="b">
        <v>1</v>
      </c>
      <c r="N3393" t="s">
        <v>8108</v>
      </c>
      <c r="O3393" t="str">
        <f>"253"</f>
        <v>253</v>
      </c>
      <c r="Q3393" t="b">
        <v>0</v>
      </c>
      <c r="S3393" t="str">
        <f>"9780310494324"</f>
        <v>9780310494324</v>
      </c>
      <c r="T3393" t="str">
        <f>"9780310494348"</f>
        <v>9780310494348</v>
      </c>
      <c r="U3393" t="b">
        <v>0</v>
      </c>
      <c r="W3393" t="b">
        <v>0</v>
      </c>
    </row>
    <row r="3394" spans="1:23" x14ac:dyDescent="0.3">
      <c r="A3394">
        <v>1948404</v>
      </c>
      <c r="B3394">
        <v>44.82</v>
      </c>
      <c r="C3394" t="s">
        <v>8109</v>
      </c>
      <c r="D3394" t="s">
        <v>8110</v>
      </c>
      <c r="E3394" t="s">
        <v>49</v>
      </c>
      <c r="F3394" t="s">
        <v>44</v>
      </c>
      <c r="G3394">
        <v>2012</v>
      </c>
      <c r="H3394" t="s">
        <v>50</v>
      </c>
      <c r="K3394" t="s">
        <v>25</v>
      </c>
      <c r="L3394" t="s">
        <v>30</v>
      </c>
      <c r="M3394" t="b">
        <v>1</v>
      </c>
      <c r="N3394" t="s">
        <v>8111</v>
      </c>
      <c r="Q3394" t="b">
        <v>0</v>
      </c>
      <c r="S3394" t="str">
        <f>"9780310677673"</f>
        <v>9780310677673</v>
      </c>
      <c r="T3394" t="str">
        <f>"9780310575900"</f>
        <v>9780310575900</v>
      </c>
      <c r="U3394" t="b">
        <v>0</v>
      </c>
      <c r="W3394" t="b">
        <v>0</v>
      </c>
    </row>
    <row r="3395" spans="1:23" x14ac:dyDescent="0.3">
      <c r="A3395">
        <v>1948403</v>
      </c>
      <c r="B3395">
        <v>51.72</v>
      </c>
      <c r="C3395" t="s">
        <v>8112</v>
      </c>
      <c r="D3395" t="s">
        <v>7224</v>
      </c>
      <c r="E3395" t="s">
        <v>23</v>
      </c>
      <c r="F3395" t="s">
        <v>44</v>
      </c>
      <c r="G3395">
        <v>2011</v>
      </c>
      <c r="H3395" t="s">
        <v>50</v>
      </c>
      <c r="K3395" t="s">
        <v>25</v>
      </c>
      <c r="L3395" t="s">
        <v>26</v>
      </c>
      <c r="M3395" t="b">
        <v>1</v>
      </c>
      <c r="N3395" t="s">
        <v>8113</v>
      </c>
      <c r="Q3395" t="b">
        <v>0</v>
      </c>
      <c r="S3395" t="str">
        <f>"9780310671435"</f>
        <v>9780310671435</v>
      </c>
      <c r="T3395" t="str">
        <f>"9780310671442"</f>
        <v>9780310671442</v>
      </c>
      <c r="U3395" t="b">
        <v>0</v>
      </c>
      <c r="W3395" t="b">
        <v>0</v>
      </c>
    </row>
    <row r="3396" spans="1:23" x14ac:dyDescent="0.3">
      <c r="A3396">
        <v>1948402</v>
      </c>
      <c r="B3396">
        <v>49.71</v>
      </c>
      <c r="C3396" t="s">
        <v>8114</v>
      </c>
      <c r="D3396" t="s">
        <v>8115</v>
      </c>
      <c r="E3396" t="s">
        <v>49</v>
      </c>
      <c r="F3396" t="s">
        <v>106</v>
      </c>
      <c r="G3396">
        <v>2009</v>
      </c>
      <c r="H3396" t="s">
        <v>3423</v>
      </c>
      <c r="I3396" t="s">
        <v>8116</v>
      </c>
      <c r="J3396" t="s">
        <v>8117</v>
      </c>
      <c r="K3396" t="s">
        <v>25</v>
      </c>
      <c r="L3396" t="s">
        <v>26</v>
      </c>
      <c r="M3396" t="b">
        <v>1</v>
      </c>
      <c r="N3396" t="s">
        <v>8118</v>
      </c>
      <c r="O3396" t="str">
        <f>"220.1"</f>
        <v>220.1</v>
      </c>
      <c r="Q3396" t="b">
        <v>0</v>
      </c>
      <c r="S3396" t="str">
        <f>"9780310285090"</f>
        <v>9780310285090</v>
      </c>
      <c r="T3396" t="str">
        <f>"9780310322429"</f>
        <v>9780310322429</v>
      </c>
      <c r="U3396" t="b">
        <v>0</v>
      </c>
      <c r="W3396" t="b">
        <v>0</v>
      </c>
    </row>
    <row r="3397" spans="1:23" x14ac:dyDescent="0.3">
      <c r="A3397">
        <v>1948401</v>
      </c>
      <c r="B3397">
        <v>44.82</v>
      </c>
      <c r="C3397" t="s">
        <v>8119</v>
      </c>
      <c r="E3397" t="s">
        <v>23</v>
      </c>
      <c r="F3397" t="s">
        <v>44</v>
      </c>
      <c r="G3397">
        <v>2011</v>
      </c>
      <c r="H3397" t="s">
        <v>2079</v>
      </c>
      <c r="K3397" t="s">
        <v>25</v>
      </c>
      <c r="L3397" t="s">
        <v>26</v>
      </c>
      <c r="M3397" t="b">
        <v>1</v>
      </c>
      <c r="N3397" t="s">
        <v>2428</v>
      </c>
      <c r="Q3397" t="b">
        <v>0</v>
      </c>
      <c r="S3397" t="str">
        <f>"9780310246893"</f>
        <v>9780310246893</v>
      </c>
      <c r="T3397" t="str">
        <f>"9780310864929"</f>
        <v>9780310864929</v>
      </c>
      <c r="U3397" t="b">
        <v>0</v>
      </c>
      <c r="W3397" t="b">
        <v>0</v>
      </c>
    </row>
    <row r="3398" spans="1:23" x14ac:dyDescent="0.3">
      <c r="A3398">
        <v>1948400</v>
      </c>
      <c r="B3398">
        <v>60.37</v>
      </c>
      <c r="C3398" t="s">
        <v>8120</v>
      </c>
      <c r="E3398" t="s">
        <v>49</v>
      </c>
      <c r="F3398" t="s">
        <v>44</v>
      </c>
      <c r="G3398">
        <v>2011</v>
      </c>
      <c r="H3398" t="s">
        <v>50</v>
      </c>
      <c r="I3398" t="s">
        <v>8121</v>
      </c>
      <c r="J3398" t="s">
        <v>895</v>
      </c>
      <c r="K3398" t="s">
        <v>25</v>
      </c>
      <c r="L3398" t="s">
        <v>30</v>
      </c>
      <c r="M3398" t="b">
        <v>1</v>
      </c>
      <c r="N3398" t="s">
        <v>8122</v>
      </c>
      <c r="O3398" t="str">
        <f>"259/.2"</f>
        <v>259/.2</v>
      </c>
      <c r="P3398" t="s">
        <v>7172</v>
      </c>
      <c r="Q3398" t="b">
        <v>0</v>
      </c>
      <c r="T3398" t="str">
        <f>"9780310864905"</f>
        <v>9780310864905</v>
      </c>
      <c r="U3398" t="b">
        <v>0</v>
      </c>
      <c r="W3398" t="b">
        <v>0</v>
      </c>
    </row>
    <row r="3399" spans="1:23" x14ac:dyDescent="0.3">
      <c r="A3399">
        <v>1948399</v>
      </c>
      <c r="B3399">
        <v>44.82</v>
      </c>
      <c r="C3399" t="s">
        <v>8123</v>
      </c>
      <c r="D3399" t="s">
        <v>8124</v>
      </c>
      <c r="E3399" t="s">
        <v>23</v>
      </c>
      <c r="F3399" t="s">
        <v>44</v>
      </c>
      <c r="G3399">
        <v>2011</v>
      </c>
      <c r="H3399" t="s">
        <v>50</v>
      </c>
      <c r="I3399" t="s">
        <v>7151</v>
      </c>
      <c r="J3399" t="s">
        <v>8125</v>
      </c>
      <c r="K3399" t="s">
        <v>25</v>
      </c>
      <c r="L3399" t="s">
        <v>30</v>
      </c>
      <c r="M3399" t="b">
        <v>1</v>
      </c>
      <c r="N3399" t="s">
        <v>8126</v>
      </c>
      <c r="O3399" t="str">
        <f>"259/.230681"</f>
        <v>259/.230681</v>
      </c>
      <c r="Q3399" t="b">
        <v>0</v>
      </c>
      <c r="S3399" t="str">
        <f>"9780310671565"</f>
        <v>9780310671565</v>
      </c>
      <c r="T3399" t="str">
        <f>"9780310430308"</f>
        <v>9780310430308</v>
      </c>
      <c r="U3399" t="b">
        <v>0</v>
      </c>
      <c r="W3399" t="b">
        <v>0</v>
      </c>
    </row>
    <row r="3400" spans="1:23" x14ac:dyDescent="0.3">
      <c r="A3400">
        <v>1948398</v>
      </c>
      <c r="B3400">
        <v>37.92</v>
      </c>
      <c r="C3400" t="s">
        <v>8127</v>
      </c>
      <c r="D3400" t="s">
        <v>8128</v>
      </c>
      <c r="E3400" t="s">
        <v>49</v>
      </c>
      <c r="F3400" t="s">
        <v>44</v>
      </c>
      <c r="G3400">
        <v>2010</v>
      </c>
      <c r="H3400" t="s">
        <v>5848</v>
      </c>
      <c r="K3400" t="s">
        <v>25</v>
      </c>
      <c r="L3400" t="s">
        <v>30</v>
      </c>
      <c r="M3400" t="b">
        <v>1</v>
      </c>
      <c r="N3400" t="s">
        <v>8129</v>
      </c>
      <c r="Q3400" t="b">
        <v>0</v>
      </c>
      <c r="S3400" t="str">
        <f>"9780310228028"</f>
        <v>9780310228028</v>
      </c>
      <c r="T3400" t="str">
        <f>"9780310874317"</f>
        <v>9780310874317</v>
      </c>
      <c r="U3400" t="b">
        <v>0</v>
      </c>
      <c r="W3400" t="b">
        <v>0</v>
      </c>
    </row>
    <row r="3401" spans="1:23" x14ac:dyDescent="0.3">
      <c r="A3401">
        <v>1948397</v>
      </c>
      <c r="B3401">
        <v>65.52</v>
      </c>
      <c r="C3401" t="s">
        <v>8130</v>
      </c>
      <c r="D3401" t="s">
        <v>8131</v>
      </c>
      <c r="E3401" t="s">
        <v>23</v>
      </c>
      <c r="F3401" t="s">
        <v>44</v>
      </c>
      <c r="G3401">
        <v>2012</v>
      </c>
      <c r="H3401" t="s">
        <v>751</v>
      </c>
      <c r="K3401" t="s">
        <v>25</v>
      </c>
      <c r="L3401" t="s">
        <v>30</v>
      </c>
      <c r="M3401" t="b">
        <v>1</v>
      </c>
      <c r="N3401" t="s">
        <v>3794</v>
      </c>
      <c r="Q3401" t="b">
        <v>0</v>
      </c>
      <c r="S3401" t="str">
        <f>"9780310523284"</f>
        <v>9780310523284</v>
      </c>
      <c r="T3401" t="str">
        <f>"9780310416760"</f>
        <v>9780310416760</v>
      </c>
      <c r="U3401" t="b">
        <v>0</v>
      </c>
      <c r="W3401" t="b">
        <v>0</v>
      </c>
    </row>
    <row r="3402" spans="1:23" x14ac:dyDescent="0.3">
      <c r="A3402">
        <v>1948396</v>
      </c>
      <c r="B3402">
        <v>65.52</v>
      </c>
      <c r="C3402" t="s">
        <v>8132</v>
      </c>
      <c r="D3402" t="s">
        <v>8133</v>
      </c>
      <c r="E3402" t="s">
        <v>23</v>
      </c>
      <c r="F3402" t="s">
        <v>44</v>
      </c>
      <c r="G3402">
        <v>2011</v>
      </c>
      <c r="H3402" t="s">
        <v>5369</v>
      </c>
      <c r="K3402" t="s">
        <v>25</v>
      </c>
      <c r="L3402" t="s">
        <v>30</v>
      </c>
      <c r="M3402" t="b">
        <v>1</v>
      </c>
      <c r="N3402" t="s">
        <v>8134</v>
      </c>
      <c r="Q3402" t="b">
        <v>0</v>
      </c>
      <c r="S3402" t="str">
        <f>"9780310327028"</f>
        <v>9780310327028</v>
      </c>
      <c r="T3402" t="str">
        <f>"9780310558675"</f>
        <v>9780310558675</v>
      </c>
      <c r="U3402" t="b">
        <v>0</v>
      </c>
      <c r="W3402" t="b">
        <v>0</v>
      </c>
    </row>
    <row r="3403" spans="1:23" x14ac:dyDescent="0.3">
      <c r="A3403">
        <v>1948395</v>
      </c>
      <c r="B3403">
        <v>58.62</v>
      </c>
      <c r="C3403" t="s">
        <v>8135</v>
      </c>
      <c r="D3403" t="s">
        <v>8136</v>
      </c>
      <c r="E3403" t="s">
        <v>23</v>
      </c>
      <c r="F3403" t="s">
        <v>44</v>
      </c>
      <c r="G3403">
        <v>2011</v>
      </c>
      <c r="H3403" t="s">
        <v>1044</v>
      </c>
      <c r="K3403" t="s">
        <v>25</v>
      </c>
      <c r="L3403" t="s">
        <v>30</v>
      </c>
      <c r="M3403" t="b">
        <v>1</v>
      </c>
      <c r="N3403" t="s">
        <v>3371</v>
      </c>
      <c r="Q3403" t="b">
        <v>0</v>
      </c>
      <c r="S3403" t="str">
        <f>"9780310331285"</f>
        <v>9780310331285</v>
      </c>
      <c r="T3403" t="str">
        <f>"9780310426240"</f>
        <v>9780310426240</v>
      </c>
      <c r="U3403" t="b">
        <v>0</v>
      </c>
      <c r="W3403" t="b">
        <v>0</v>
      </c>
    </row>
    <row r="3404" spans="1:23" x14ac:dyDescent="0.3">
      <c r="A3404">
        <v>1948392</v>
      </c>
      <c r="B3404">
        <v>44.82</v>
      </c>
      <c r="C3404" t="s">
        <v>8137</v>
      </c>
      <c r="D3404" t="s">
        <v>8138</v>
      </c>
      <c r="E3404" t="s">
        <v>23</v>
      </c>
      <c r="F3404" t="s">
        <v>44</v>
      </c>
      <c r="G3404">
        <v>2009</v>
      </c>
      <c r="H3404" t="s">
        <v>1122</v>
      </c>
      <c r="I3404" t="s">
        <v>8139</v>
      </c>
      <c r="J3404" t="s">
        <v>8140</v>
      </c>
      <c r="K3404" t="s">
        <v>25</v>
      </c>
      <c r="L3404" t="s">
        <v>30</v>
      </c>
      <c r="M3404" t="b">
        <v>1</v>
      </c>
      <c r="N3404" t="s">
        <v>792</v>
      </c>
      <c r="O3404" t="str">
        <f>"253"</f>
        <v>253</v>
      </c>
      <c r="Q3404" t="b">
        <v>0</v>
      </c>
      <c r="S3404" t="str">
        <f>"9780310257356"</f>
        <v>9780310257356</v>
      </c>
      <c r="T3404" t="str">
        <f>"9780310572589"</f>
        <v>9780310572589</v>
      </c>
      <c r="U3404" t="b">
        <v>0</v>
      </c>
      <c r="V3404" t="s">
        <v>8141</v>
      </c>
      <c r="W3404" t="b">
        <v>0</v>
      </c>
    </row>
    <row r="3405" spans="1:23" x14ac:dyDescent="0.3">
      <c r="A3405">
        <v>1948391</v>
      </c>
      <c r="B3405">
        <v>46.16</v>
      </c>
      <c r="C3405" t="s">
        <v>8142</v>
      </c>
      <c r="D3405" t="s">
        <v>8143</v>
      </c>
      <c r="E3405" t="s">
        <v>49</v>
      </c>
      <c r="F3405" t="s">
        <v>44</v>
      </c>
      <c r="G3405">
        <v>2009</v>
      </c>
      <c r="H3405" t="s">
        <v>5369</v>
      </c>
      <c r="K3405" t="s">
        <v>25</v>
      </c>
      <c r="L3405" t="s">
        <v>30</v>
      </c>
      <c r="M3405" t="b">
        <v>1</v>
      </c>
      <c r="N3405" t="s">
        <v>8144</v>
      </c>
      <c r="Q3405" t="b">
        <v>0</v>
      </c>
      <c r="S3405" t="str">
        <f>"9780310269304"</f>
        <v>9780310269304</v>
      </c>
      <c r="T3405" t="str">
        <f>"9780310314073"</f>
        <v>9780310314073</v>
      </c>
      <c r="U3405" t="b">
        <v>0</v>
      </c>
      <c r="W3405" t="b">
        <v>0</v>
      </c>
    </row>
    <row r="3406" spans="1:23" x14ac:dyDescent="0.3">
      <c r="A3406">
        <v>1948390</v>
      </c>
      <c r="B3406">
        <v>58.62</v>
      </c>
      <c r="C3406" t="s">
        <v>8145</v>
      </c>
      <c r="D3406" t="s">
        <v>8146</v>
      </c>
      <c r="E3406" t="s">
        <v>23</v>
      </c>
      <c r="F3406" t="s">
        <v>44</v>
      </c>
      <c r="G3406">
        <v>2009</v>
      </c>
      <c r="H3406" t="s">
        <v>804</v>
      </c>
      <c r="K3406" t="s">
        <v>25</v>
      </c>
      <c r="L3406" t="s">
        <v>30</v>
      </c>
      <c r="M3406" t="b">
        <v>1</v>
      </c>
      <c r="N3406" t="s">
        <v>8144</v>
      </c>
      <c r="Q3406" t="b">
        <v>0</v>
      </c>
      <c r="S3406" t="str">
        <f>"9780310283959"</f>
        <v>9780310283959</v>
      </c>
      <c r="T3406" t="str">
        <f>"9780310574835"</f>
        <v>9780310574835</v>
      </c>
      <c r="U3406" t="b">
        <v>0</v>
      </c>
      <c r="W3406" t="b">
        <v>0</v>
      </c>
    </row>
    <row r="3407" spans="1:23" x14ac:dyDescent="0.3">
      <c r="A3407">
        <v>1948389</v>
      </c>
      <c r="B3407">
        <v>51.72</v>
      </c>
      <c r="C3407" t="s">
        <v>8147</v>
      </c>
      <c r="D3407" t="s">
        <v>8148</v>
      </c>
      <c r="E3407" t="s">
        <v>23</v>
      </c>
      <c r="F3407" t="s">
        <v>44</v>
      </c>
      <c r="G3407">
        <v>2011</v>
      </c>
      <c r="H3407" t="s">
        <v>822</v>
      </c>
      <c r="K3407" t="s">
        <v>25</v>
      </c>
      <c r="L3407" t="s">
        <v>30</v>
      </c>
      <c r="M3407" t="b">
        <v>1</v>
      </c>
      <c r="N3407" t="s">
        <v>8149</v>
      </c>
      <c r="Q3407" t="b">
        <v>0</v>
      </c>
      <c r="S3407" t="str">
        <f>"9780310325963"</f>
        <v>9780310325963</v>
      </c>
      <c r="T3407" t="str">
        <f>"9780310589600"</f>
        <v>9780310589600</v>
      </c>
      <c r="U3407" t="b">
        <v>0</v>
      </c>
      <c r="W3407" t="b">
        <v>0</v>
      </c>
    </row>
    <row r="3408" spans="1:23" x14ac:dyDescent="0.3">
      <c r="A3408">
        <v>1948388</v>
      </c>
      <c r="B3408">
        <v>58.62</v>
      </c>
      <c r="C3408" t="s">
        <v>8150</v>
      </c>
      <c r="D3408" t="s">
        <v>8151</v>
      </c>
      <c r="E3408" t="s">
        <v>49</v>
      </c>
      <c r="F3408" t="s">
        <v>44</v>
      </c>
      <c r="G3408">
        <v>2010</v>
      </c>
      <c r="H3408" t="s">
        <v>2702</v>
      </c>
      <c r="I3408" t="s">
        <v>8152</v>
      </c>
      <c r="J3408" t="s">
        <v>895</v>
      </c>
      <c r="K3408" t="s">
        <v>25</v>
      </c>
      <c r="L3408" t="s">
        <v>26</v>
      </c>
      <c r="M3408" t="b">
        <v>1</v>
      </c>
      <c r="N3408" t="s">
        <v>8153</v>
      </c>
      <c r="O3408" t="str">
        <f>"262/.15"</f>
        <v>262/.15</v>
      </c>
      <c r="Q3408" t="b">
        <v>0</v>
      </c>
      <c r="S3408" t="str">
        <f>"9780310246190"</f>
        <v>9780310246190</v>
      </c>
      <c r="T3408" t="str">
        <f>"9780310874119"</f>
        <v>9780310874119</v>
      </c>
      <c r="U3408" t="b">
        <v>0</v>
      </c>
      <c r="W3408" t="b">
        <v>0</v>
      </c>
    </row>
    <row r="3409" spans="1:23" x14ac:dyDescent="0.3">
      <c r="A3409">
        <v>1948387</v>
      </c>
      <c r="B3409">
        <v>51.72</v>
      </c>
      <c r="C3409" t="s">
        <v>8154</v>
      </c>
      <c r="D3409" t="s">
        <v>8155</v>
      </c>
      <c r="E3409" t="s">
        <v>49</v>
      </c>
      <c r="F3409" t="s">
        <v>44</v>
      </c>
      <c r="G3409">
        <v>2011</v>
      </c>
      <c r="H3409" t="s">
        <v>719</v>
      </c>
      <c r="K3409" t="s">
        <v>25</v>
      </c>
      <c r="L3409" t="s">
        <v>30</v>
      </c>
      <c r="M3409" t="b">
        <v>1</v>
      </c>
      <c r="N3409" t="s">
        <v>1453</v>
      </c>
      <c r="Q3409" t="b">
        <v>0</v>
      </c>
      <c r="S3409" t="str">
        <f>"9780310671145"</f>
        <v>9780310671145</v>
      </c>
      <c r="T3409" t="str">
        <f>"9780310671169"</f>
        <v>9780310671169</v>
      </c>
      <c r="U3409" t="b">
        <v>0</v>
      </c>
      <c r="W3409" t="b">
        <v>0</v>
      </c>
    </row>
    <row r="3410" spans="1:23" x14ac:dyDescent="0.3">
      <c r="A3410">
        <v>1948386</v>
      </c>
      <c r="B3410">
        <v>113.68</v>
      </c>
      <c r="C3410" t="s">
        <v>8156</v>
      </c>
      <c r="D3410" t="s">
        <v>8157</v>
      </c>
      <c r="E3410" t="s">
        <v>49</v>
      </c>
      <c r="F3410" t="s">
        <v>106</v>
      </c>
      <c r="G3410">
        <v>2011</v>
      </c>
      <c r="H3410" t="s">
        <v>6402</v>
      </c>
      <c r="I3410" t="s">
        <v>1039</v>
      </c>
      <c r="J3410" t="s">
        <v>1040</v>
      </c>
      <c r="K3410" t="s">
        <v>25</v>
      </c>
      <c r="L3410" t="s">
        <v>26</v>
      </c>
      <c r="M3410" t="b">
        <v>1</v>
      </c>
      <c r="N3410" t="s">
        <v>6625</v>
      </c>
      <c r="O3410" t="str">
        <f>"200"</f>
        <v>200</v>
      </c>
      <c r="Q3410" t="b">
        <v>0</v>
      </c>
      <c r="S3410" t="str">
        <f>"9780310259442"</f>
        <v>9780310259442</v>
      </c>
      <c r="T3410" t="str">
        <f>"9780310314486"</f>
        <v>9780310314486</v>
      </c>
      <c r="U3410" t="b">
        <v>0</v>
      </c>
      <c r="W3410" t="b">
        <v>0</v>
      </c>
    </row>
    <row r="3411" spans="1:23" x14ac:dyDescent="0.3">
      <c r="A3411">
        <v>1948385</v>
      </c>
      <c r="B3411">
        <v>49.71</v>
      </c>
      <c r="C3411" t="s">
        <v>8158</v>
      </c>
      <c r="D3411" t="s">
        <v>8159</v>
      </c>
      <c r="E3411" t="s">
        <v>49</v>
      </c>
      <c r="F3411" t="s">
        <v>44</v>
      </c>
      <c r="G3411">
        <v>2009</v>
      </c>
      <c r="H3411" t="s">
        <v>5369</v>
      </c>
      <c r="K3411" t="s">
        <v>25</v>
      </c>
      <c r="L3411" t="s">
        <v>30</v>
      </c>
      <c r="M3411" t="b">
        <v>1</v>
      </c>
      <c r="N3411" t="s">
        <v>8160</v>
      </c>
      <c r="Q3411" t="b">
        <v>0</v>
      </c>
      <c r="T3411" t="str">
        <f>"9780310866961"</f>
        <v>9780310866961</v>
      </c>
      <c r="U3411" t="b">
        <v>0</v>
      </c>
      <c r="W3411" t="b">
        <v>0</v>
      </c>
    </row>
    <row r="3412" spans="1:23" x14ac:dyDescent="0.3">
      <c r="A3412">
        <v>1948384</v>
      </c>
      <c r="B3412">
        <v>56.82</v>
      </c>
      <c r="C3412" t="s">
        <v>8161</v>
      </c>
      <c r="D3412" t="s">
        <v>8162</v>
      </c>
      <c r="E3412" t="s">
        <v>49</v>
      </c>
      <c r="F3412" t="s">
        <v>44</v>
      </c>
      <c r="G3412">
        <v>2010</v>
      </c>
      <c r="H3412" t="s">
        <v>52</v>
      </c>
      <c r="K3412" t="s">
        <v>25</v>
      </c>
      <c r="L3412" t="s">
        <v>30</v>
      </c>
      <c r="M3412" t="b">
        <v>1</v>
      </c>
      <c r="N3412" t="s">
        <v>8163</v>
      </c>
      <c r="Q3412" t="b">
        <v>0</v>
      </c>
      <c r="S3412" t="str">
        <f>"9780310321323"</f>
        <v>9780310321323</v>
      </c>
      <c r="T3412" t="str">
        <f>"9780310321354"</f>
        <v>9780310321354</v>
      </c>
      <c r="U3412" t="b">
        <v>0</v>
      </c>
      <c r="W3412" t="b">
        <v>0</v>
      </c>
    </row>
    <row r="3413" spans="1:23" x14ac:dyDescent="0.3">
      <c r="A3413">
        <v>1948383</v>
      </c>
      <c r="B3413">
        <v>65.52</v>
      </c>
      <c r="C3413" t="s">
        <v>8164</v>
      </c>
      <c r="D3413" t="s">
        <v>8165</v>
      </c>
      <c r="E3413" t="s">
        <v>49</v>
      </c>
      <c r="F3413" t="s">
        <v>44</v>
      </c>
      <c r="G3413">
        <v>2009</v>
      </c>
      <c r="H3413" t="s">
        <v>751</v>
      </c>
      <c r="K3413" t="s">
        <v>25</v>
      </c>
      <c r="L3413" t="s">
        <v>30</v>
      </c>
      <c r="M3413" t="b">
        <v>1</v>
      </c>
      <c r="N3413" t="s">
        <v>6393</v>
      </c>
      <c r="P3413" t="s">
        <v>5851</v>
      </c>
      <c r="Q3413" t="b">
        <v>0</v>
      </c>
      <c r="S3413" t="str">
        <f>"9780310326083"</f>
        <v>9780310326083</v>
      </c>
      <c r="T3413" t="str">
        <f>"9780310864448"</f>
        <v>9780310864448</v>
      </c>
      <c r="U3413" t="b">
        <v>0</v>
      </c>
      <c r="W3413" t="b">
        <v>0</v>
      </c>
    </row>
    <row r="3414" spans="1:23" x14ac:dyDescent="0.3">
      <c r="A3414">
        <v>1948382</v>
      </c>
      <c r="B3414">
        <v>42.61</v>
      </c>
      <c r="C3414" t="s">
        <v>8166</v>
      </c>
      <c r="E3414" t="s">
        <v>49</v>
      </c>
      <c r="F3414" t="s">
        <v>44</v>
      </c>
      <c r="G3414">
        <v>2009</v>
      </c>
      <c r="H3414" t="s">
        <v>50</v>
      </c>
      <c r="K3414" t="s">
        <v>25</v>
      </c>
      <c r="L3414" t="s">
        <v>30</v>
      </c>
      <c r="M3414" t="b">
        <v>1</v>
      </c>
      <c r="N3414" t="s">
        <v>3426</v>
      </c>
      <c r="Q3414" t="b">
        <v>0</v>
      </c>
      <c r="T3414" t="str">
        <f>"9780310864424"</f>
        <v>9780310864424</v>
      </c>
      <c r="U3414" t="b">
        <v>0</v>
      </c>
      <c r="W3414" t="b">
        <v>0</v>
      </c>
    </row>
    <row r="3415" spans="1:23" x14ac:dyDescent="0.3">
      <c r="A3415">
        <v>1948381</v>
      </c>
      <c r="B3415">
        <v>56.82</v>
      </c>
      <c r="C3415" t="s">
        <v>8167</v>
      </c>
      <c r="D3415" t="s">
        <v>8168</v>
      </c>
      <c r="E3415" t="s">
        <v>23</v>
      </c>
      <c r="F3415" t="s">
        <v>44</v>
      </c>
      <c r="G3415">
        <v>2010</v>
      </c>
      <c r="H3415" t="s">
        <v>751</v>
      </c>
      <c r="I3415" t="s">
        <v>8169</v>
      </c>
      <c r="J3415" t="s">
        <v>8170</v>
      </c>
      <c r="K3415" t="s">
        <v>25</v>
      </c>
      <c r="L3415" t="s">
        <v>30</v>
      </c>
      <c r="M3415" t="b">
        <v>1</v>
      </c>
      <c r="N3415" t="s">
        <v>8171</v>
      </c>
      <c r="O3415" t="str">
        <f>"266.00973/091732"</f>
        <v>266.00973/091732</v>
      </c>
      <c r="Q3415" t="b">
        <v>0</v>
      </c>
      <c r="S3415" t="str">
        <f>"9780310325864"</f>
        <v>9780310325864</v>
      </c>
      <c r="T3415" t="str">
        <f>"9780310576358"</f>
        <v>9780310576358</v>
      </c>
      <c r="U3415" t="b">
        <v>0</v>
      </c>
      <c r="W3415" t="b">
        <v>0</v>
      </c>
    </row>
    <row r="3416" spans="1:23" x14ac:dyDescent="0.3">
      <c r="A3416">
        <v>1948380</v>
      </c>
      <c r="B3416">
        <v>58.62</v>
      </c>
      <c r="C3416" t="s">
        <v>8172</v>
      </c>
      <c r="D3416" t="s">
        <v>8173</v>
      </c>
      <c r="E3416" t="s">
        <v>23</v>
      </c>
      <c r="F3416" t="s">
        <v>44</v>
      </c>
      <c r="G3416">
        <v>2009</v>
      </c>
      <c r="H3416" t="s">
        <v>804</v>
      </c>
      <c r="K3416" t="s">
        <v>25</v>
      </c>
      <c r="L3416" t="s">
        <v>30</v>
      </c>
      <c r="M3416" t="b">
        <v>1</v>
      </c>
      <c r="N3416" t="s">
        <v>3371</v>
      </c>
      <c r="Q3416" t="b">
        <v>0</v>
      </c>
      <c r="S3416" t="str">
        <f>"9780310257325"</f>
        <v>9780310257325</v>
      </c>
      <c r="T3416" t="str">
        <f>"9780310542605"</f>
        <v>9780310542605</v>
      </c>
      <c r="U3416" t="b">
        <v>0</v>
      </c>
      <c r="W3416" t="b">
        <v>0</v>
      </c>
    </row>
    <row r="3417" spans="1:23" x14ac:dyDescent="0.3">
      <c r="A3417">
        <v>1948379</v>
      </c>
      <c r="B3417">
        <v>79.319999999999993</v>
      </c>
      <c r="C3417" t="s">
        <v>8174</v>
      </c>
      <c r="E3417" t="s">
        <v>49</v>
      </c>
      <c r="F3417" t="s">
        <v>106</v>
      </c>
      <c r="G3417">
        <v>2010</v>
      </c>
      <c r="H3417" t="s">
        <v>739</v>
      </c>
      <c r="I3417" t="s">
        <v>8175</v>
      </c>
      <c r="J3417" t="s">
        <v>8176</v>
      </c>
      <c r="K3417" t="s">
        <v>25</v>
      </c>
      <c r="L3417" t="s">
        <v>26</v>
      </c>
      <c r="M3417" t="b">
        <v>1</v>
      </c>
      <c r="N3417" t="s">
        <v>8177</v>
      </c>
      <c r="O3417" t="str">
        <f>"236/.9"</f>
        <v>236/.9</v>
      </c>
      <c r="P3417" t="s">
        <v>6463</v>
      </c>
      <c r="Q3417" t="b">
        <v>0</v>
      </c>
      <c r="S3417" t="str">
        <f>"9780310201434"</f>
        <v>9780310201434</v>
      </c>
      <c r="T3417" t="str">
        <f>"9780310873990"</f>
        <v>9780310873990</v>
      </c>
      <c r="U3417" t="b">
        <v>0</v>
      </c>
      <c r="W3417" t="b">
        <v>0</v>
      </c>
    </row>
    <row r="3418" spans="1:23" x14ac:dyDescent="0.3">
      <c r="A3418">
        <v>1948378</v>
      </c>
      <c r="B3418">
        <v>53.27</v>
      </c>
      <c r="C3418" t="s">
        <v>8178</v>
      </c>
      <c r="D3418" t="s">
        <v>8179</v>
      </c>
      <c r="E3418" t="s">
        <v>23</v>
      </c>
      <c r="F3418" t="s">
        <v>44</v>
      </c>
      <c r="G3418">
        <v>2010</v>
      </c>
      <c r="H3418" t="s">
        <v>50</v>
      </c>
      <c r="I3418" t="s">
        <v>7151</v>
      </c>
      <c r="J3418" t="s">
        <v>895</v>
      </c>
      <c r="K3418" t="s">
        <v>25</v>
      </c>
      <c r="L3418" t="s">
        <v>30</v>
      </c>
      <c r="M3418" t="b">
        <v>1</v>
      </c>
      <c r="N3418" t="s">
        <v>3426</v>
      </c>
      <c r="O3418" t="str">
        <f>"362.7"</f>
        <v>362.7</v>
      </c>
      <c r="Q3418" t="b">
        <v>0</v>
      </c>
      <c r="T3418" t="str">
        <f>"9780310864912"</f>
        <v>9780310864912</v>
      </c>
      <c r="U3418" t="b">
        <v>0</v>
      </c>
      <c r="W3418" t="b">
        <v>0</v>
      </c>
    </row>
    <row r="3419" spans="1:23" x14ac:dyDescent="0.3">
      <c r="A3419">
        <v>1948377</v>
      </c>
      <c r="B3419">
        <v>65.52</v>
      </c>
      <c r="C3419" t="s">
        <v>8180</v>
      </c>
      <c r="D3419" t="s">
        <v>8181</v>
      </c>
      <c r="E3419" t="s">
        <v>49</v>
      </c>
      <c r="F3419" t="s">
        <v>44</v>
      </c>
      <c r="G3419">
        <v>2007</v>
      </c>
      <c r="H3419" t="s">
        <v>1044</v>
      </c>
      <c r="I3419" t="s">
        <v>8182</v>
      </c>
      <c r="J3419" t="s">
        <v>8183</v>
      </c>
      <c r="K3419" t="s">
        <v>25</v>
      </c>
      <c r="L3419" t="s">
        <v>30</v>
      </c>
      <c r="M3419" t="b">
        <v>1</v>
      </c>
      <c r="N3419" t="s">
        <v>3371</v>
      </c>
      <c r="O3419" t="str">
        <f>"264.0088/7"</f>
        <v>264.0088/7</v>
      </c>
      <c r="Q3419" t="b">
        <v>0</v>
      </c>
      <c r="S3419" t="str">
        <f>"9780310273349"</f>
        <v>9780310273349</v>
      </c>
      <c r="T3419" t="str">
        <f>"9780310867098"</f>
        <v>9780310867098</v>
      </c>
      <c r="U3419" t="b">
        <v>0</v>
      </c>
      <c r="W3419" t="b">
        <v>0</v>
      </c>
    </row>
    <row r="3420" spans="1:23" x14ac:dyDescent="0.3">
      <c r="A3420">
        <v>1948376</v>
      </c>
      <c r="B3420">
        <v>28.39</v>
      </c>
      <c r="C3420" t="s">
        <v>8184</v>
      </c>
      <c r="D3420" t="s">
        <v>8185</v>
      </c>
      <c r="E3420" t="s">
        <v>23</v>
      </c>
      <c r="F3420" t="s">
        <v>44</v>
      </c>
      <c r="G3420">
        <v>2010</v>
      </c>
      <c r="H3420" t="s">
        <v>2702</v>
      </c>
      <c r="K3420" t="s">
        <v>25</v>
      </c>
      <c r="L3420" t="s">
        <v>30</v>
      </c>
      <c r="M3420" t="b">
        <v>1</v>
      </c>
      <c r="N3420" t="s">
        <v>8186</v>
      </c>
      <c r="Q3420" t="b">
        <v>0</v>
      </c>
      <c r="T3420" t="str">
        <f>"9780310873976"</f>
        <v>9780310873976</v>
      </c>
      <c r="U3420" t="b">
        <v>0</v>
      </c>
      <c r="W3420" t="b">
        <v>0</v>
      </c>
    </row>
    <row r="3421" spans="1:23" x14ac:dyDescent="0.3">
      <c r="A3421">
        <v>1948375</v>
      </c>
      <c r="B3421">
        <v>51.72</v>
      </c>
      <c r="C3421" t="s">
        <v>8187</v>
      </c>
      <c r="D3421" t="s">
        <v>8188</v>
      </c>
      <c r="E3421" t="s">
        <v>49</v>
      </c>
      <c r="F3421" t="s">
        <v>44</v>
      </c>
      <c r="G3421">
        <v>2009</v>
      </c>
      <c r="H3421" t="s">
        <v>751</v>
      </c>
      <c r="I3421" t="s">
        <v>2716</v>
      </c>
      <c r="J3421" t="s">
        <v>8189</v>
      </c>
      <c r="K3421" t="s">
        <v>25</v>
      </c>
      <c r="L3421" t="s">
        <v>30</v>
      </c>
      <c r="M3421" t="b">
        <v>1</v>
      </c>
      <c r="N3421" t="s">
        <v>8190</v>
      </c>
      <c r="O3421" t="str">
        <f>"253/.7"</f>
        <v>253/.7</v>
      </c>
      <c r="Q3421" t="b">
        <v>0</v>
      </c>
      <c r="S3421" t="str">
        <f>"9780310267119"</f>
        <v>9780310267119</v>
      </c>
      <c r="T3421" t="str">
        <f>"9780310864042"</f>
        <v>9780310864042</v>
      </c>
      <c r="U3421" t="b">
        <v>0</v>
      </c>
      <c r="W3421" t="b">
        <v>0</v>
      </c>
    </row>
    <row r="3422" spans="1:23" x14ac:dyDescent="0.3">
      <c r="A3422">
        <v>1948374</v>
      </c>
      <c r="B3422">
        <v>44.82</v>
      </c>
      <c r="C3422" t="s">
        <v>8191</v>
      </c>
      <c r="D3422" t="s">
        <v>8192</v>
      </c>
      <c r="E3422" t="s">
        <v>49</v>
      </c>
      <c r="F3422" t="s">
        <v>44</v>
      </c>
      <c r="G3422">
        <v>2009</v>
      </c>
      <c r="H3422" t="s">
        <v>1181</v>
      </c>
      <c r="K3422" t="s">
        <v>25</v>
      </c>
      <c r="L3422" t="s">
        <v>30</v>
      </c>
      <c r="M3422" t="b">
        <v>1</v>
      </c>
      <c r="N3422" t="s">
        <v>3414</v>
      </c>
      <c r="Q3422" t="b">
        <v>0</v>
      </c>
      <c r="S3422" t="str">
        <f>"9780310255093"</f>
        <v>9780310255093</v>
      </c>
      <c r="T3422" t="str">
        <f>"9780310856344"</f>
        <v>9780310856344</v>
      </c>
      <c r="U3422" t="b">
        <v>0</v>
      </c>
      <c r="W3422" t="b">
        <v>0</v>
      </c>
    </row>
    <row r="3423" spans="1:23" x14ac:dyDescent="0.3">
      <c r="A3423">
        <v>1948373</v>
      </c>
      <c r="B3423">
        <v>58.62</v>
      </c>
      <c r="C3423" t="s">
        <v>8193</v>
      </c>
      <c r="D3423" t="s">
        <v>8194</v>
      </c>
      <c r="E3423" t="s">
        <v>23</v>
      </c>
      <c r="F3423" t="s">
        <v>44</v>
      </c>
      <c r="G3423">
        <v>2011</v>
      </c>
      <c r="H3423" t="s">
        <v>50</v>
      </c>
      <c r="I3423" t="s">
        <v>8195</v>
      </c>
      <c r="J3423" t="s">
        <v>8196</v>
      </c>
      <c r="K3423" t="s">
        <v>25</v>
      </c>
      <c r="L3423" t="s">
        <v>30</v>
      </c>
      <c r="M3423" t="b">
        <v>1</v>
      </c>
      <c r="N3423" t="s">
        <v>8197</v>
      </c>
      <c r="O3423" t="str">
        <f>"262.2"</f>
        <v>262.2</v>
      </c>
      <c r="Q3423" t="b">
        <v>0</v>
      </c>
      <c r="S3423" t="str">
        <f>"9780310255000"</f>
        <v>9780310255000</v>
      </c>
      <c r="T3423" t="str">
        <f>"9780310863885"</f>
        <v>9780310863885</v>
      </c>
      <c r="U3423" t="b">
        <v>0</v>
      </c>
      <c r="W3423" t="b">
        <v>0</v>
      </c>
    </row>
    <row r="3424" spans="1:23" x14ac:dyDescent="0.3">
      <c r="A3424">
        <v>1948371</v>
      </c>
      <c r="B3424">
        <v>44.82</v>
      </c>
      <c r="C3424" t="s">
        <v>8198</v>
      </c>
      <c r="E3424" t="s">
        <v>23</v>
      </c>
      <c r="F3424" t="s">
        <v>44</v>
      </c>
      <c r="G3424">
        <v>2010</v>
      </c>
      <c r="H3424" t="s">
        <v>2702</v>
      </c>
      <c r="I3424" t="s">
        <v>8199</v>
      </c>
      <c r="J3424" t="s">
        <v>8200</v>
      </c>
      <c r="K3424" t="s">
        <v>25</v>
      </c>
      <c r="L3424" t="s">
        <v>30</v>
      </c>
      <c r="M3424" t="b">
        <v>1</v>
      </c>
      <c r="N3424" t="s">
        <v>8201</v>
      </c>
      <c r="O3424" t="str">
        <f>"781.71/043"</f>
        <v>781.71/043</v>
      </c>
      <c r="Q3424" t="b">
        <v>0</v>
      </c>
      <c r="S3424" t="str">
        <f>"9780310242321"</f>
        <v>9780310242321</v>
      </c>
      <c r="T3424" t="str">
        <f>"9780310873532"</f>
        <v>9780310873532</v>
      </c>
      <c r="U3424" t="b">
        <v>0</v>
      </c>
      <c r="W3424" t="b">
        <v>0</v>
      </c>
    </row>
    <row r="3425" spans="1:23" x14ac:dyDescent="0.3">
      <c r="A3425">
        <v>1948369</v>
      </c>
      <c r="B3425">
        <v>65.52</v>
      </c>
      <c r="C3425" t="s">
        <v>8202</v>
      </c>
      <c r="D3425" t="s">
        <v>8203</v>
      </c>
      <c r="E3425" t="s">
        <v>49</v>
      </c>
      <c r="F3425" t="s">
        <v>44</v>
      </c>
      <c r="G3425">
        <v>2006</v>
      </c>
      <c r="H3425" t="s">
        <v>751</v>
      </c>
      <c r="I3425" t="s">
        <v>8204</v>
      </c>
      <c r="J3425" t="s">
        <v>8205</v>
      </c>
      <c r="K3425" t="s">
        <v>25</v>
      </c>
      <c r="L3425" t="s">
        <v>30</v>
      </c>
      <c r="M3425" t="b">
        <v>1</v>
      </c>
      <c r="N3425" t="s">
        <v>7970</v>
      </c>
      <c r="O3425" t="str">
        <f>"254"</f>
        <v>254</v>
      </c>
      <c r="P3425" t="s">
        <v>8206</v>
      </c>
      <c r="Q3425" t="b">
        <v>0</v>
      </c>
      <c r="S3425" t="str">
        <f>"9780310270157"</f>
        <v>9780310270157</v>
      </c>
      <c r="T3425" t="str">
        <f>"9780310566434"</f>
        <v>9780310566434</v>
      </c>
      <c r="U3425" t="b">
        <v>0</v>
      </c>
      <c r="W3425" t="b">
        <v>0</v>
      </c>
    </row>
    <row r="3426" spans="1:23" x14ac:dyDescent="0.3">
      <c r="A3426">
        <v>1948368</v>
      </c>
      <c r="B3426">
        <v>113.82</v>
      </c>
      <c r="C3426" t="s">
        <v>8207</v>
      </c>
      <c r="D3426" t="s">
        <v>8208</v>
      </c>
      <c r="E3426" t="s">
        <v>49</v>
      </c>
      <c r="F3426" t="s">
        <v>106</v>
      </c>
      <c r="G3426">
        <v>2010</v>
      </c>
      <c r="H3426" t="s">
        <v>822</v>
      </c>
      <c r="I3426" t="s">
        <v>6943</v>
      </c>
      <c r="J3426" t="s">
        <v>8209</v>
      </c>
      <c r="K3426" t="s">
        <v>25</v>
      </c>
      <c r="L3426" t="s">
        <v>30</v>
      </c>
      <c r="M3426" t="b">
        <v>1</v>
      </c>
      <c r="N3426" t="s">
        <v>6507</v>
      </c>
      <c r="O3426" t="str">
        <f>"262/.7"</f>
        <v>262/.7</v>
      </c>
      <c r="P3426" t="s">
        <v>6637</v>
      </c>
      <c r="Q3426" t="b">
        <v>0</v>
      </c>
      <c r="S3426" t="str">
        <f>"9780310291121"</f>
        <v>9780310291121</v>
      </c>
      <c r="T3426" t="str">
        <f>"9780310323037"</f>
        <v>9780310323037</v>
      </c>
      <c r="U3426" t="b">
        <v>0</v>
      </c>
      <c r="W3426" t="b">
        <v>0</v>
      </c>
    </row>
    <row r="3427" spans="1:23" x14ac:dyDescent="0.3">
      <c r="A3427">
        <v>1948367</v>
      </c>
      <c r="B3427">
        <v>51.72</v>
      </c>
      <c r="C3427" t="s">
        <v>8210</v>
      </c>
      <c r="E3427" t="s">
        <v>49</v>
      </c>
      <c r="F3427" t="s">
        <v>44</v>
      </c>
      <c r="G3427">
        <v>2009</v>
      </c>
      <c r="H3427" t="s">
        <v>1122</v>
      </c>
      <c r="I3427" t="s">
        <v>3034</v>
      </c>
      <c r="J3427" t="s">
        <v>895</v>
      </c>
      <c r="K3427" t="s">
        <v>25</v>
      </c>
      <c r="L3427" t="s">
        <v>26</v>
      </c>
      <c r="M3427" t="b">
        <v>1</v>
      </c>
      <c r="N3427" t="s">
        <v>8211</v>
      </c>
      <c r="O3427" t="str">
        <f>"248.4"</f>
        <v>248.4</v>
      </c>
      <c r="Q3427" t="b">
        <v>0</v>
      </c>
      <c r="S3427" t="str">
        <f>"9780310372813"</f>
        <v>9780310372813</v>
      </c>
      <c r="T3427" t="str">
        <f>"9780310832065"</f>
        <v>9780310832065</v>
      </c>
      <c r="U3427" t="b">
        <v>0</v>
      </c>
      <c r="W3427" t="b">
        <v>0</v>
      </c>
    </row>
    <row r="3428" spans="1:23" x14ac:dyDescent="0.3">
      <c r="A3428">
        <v>1948366</v>
      </c>
      <c r="B3428">
        <v>51.72</v>
      </c>
      <c r="C3428" t="s">
        <v>8212</v>
      </c>
      <c r="D3428" t="s">
        <v>8213</v>
      </c>
      <c r="E3428" t="s">
        <v>49</v>
      </c>
      <c r="F3428" t="s">
        <v>44</v>
      </c>
      <c r="G3428">
        <v>2009</v>
      </c>
      <c r="H3428" t="s">
        <v>2702</v>
      </c>
      <c r="I3428" t="s">
        <v>8214</v>
      </c>
      <c r="J3428" t="s">
        <v>8215</v>
      </c>
      <c r="K3428" t="s">
        <v>25</v>
      </c>
      <c r="L3428" t="s">
        <v>30</v>
      </c>
      <c r="M3428" t="b">
        <v>1</v>
      </c>
      <c r="N3428" t="s">
        <v>8216</v>
      </c>
      <c r="O3428" t="str">
        <f>"253"</f>
        <v>253</v>
      </c>
      <c r="Q3428" t="b">
        <v>0</v>
      </c>
      <c r="S3428" t="str">
        <f>"9780310284802"</f>
        <v>9780310284802</v>
      </c>
      <c r="T3428" t="str">
        <f>"9780310315575"</f>
        <v>9780310315575</v>
      </c>
      <c r="U3428" t="b">
        <v>0</v>
      </c>
      <c r="W3428" t="b">
        <v>0</v>
      </c>
    </row>
    <row r="3429" spans="1:23" x14ac:dyDescent="0.3">
      <c r="A3429">
        <v>1948365</v>
      </c>
      <c r="B3429">
        <v>51.72</v>
      </c>
      <c r="C3429" t="s">
        <v>8217</v>
      </c>
      <c r="D3429" t="s">
        <v>8218</v>
      </c>
      <c r="E3429" t="s">
        <v>23</v>
      </c>
      <c r="F3429" t="s">
        <v>44</v>
      </c>
      <c r="G3429">
        <v>2010</v>
      </c>
      <c r="H3429" t="s">
        <v>5369</v>
      </c>
      <c r="K3429" t="s">
        <v>25</v>
      </c>
      <c r="L3429" t="s">
        <v>30</v>
      </c>
      <c r="M3429" t="b">
        <v>1</v>
      </c>
      <c r="N3429" t="s">
        <v>8219</v>
      </c>
      <c r="Q3429" t="b">
        <v>0</v>
      </c>
      <c r="S3429" t="str">
        <f>"9780310293095"</f>
        <v>9780310293095</v>
      </c>
      <c r="T3429" t="str">
        <f>"9780310314615"</f>
        <v>9780310314615</v>
      </c>
      <c r="U3429" t="b">
        <v>0</v>
      </c>
      <c r="W3429" t="b">
        <v>0</v>
      </c>
    </row>
    <row r="3430" spans="1:23" x14ac:dyDescent="0.3">
      <c r="A3430">
        <v>1948364</v>
      </c>
      <c r="B3430">
        <v>48.27</v>
      </c>
      <c r="C3430" t="s">
        <v>8220</v>
      </c>
      <c r="E3430" t="s">
        <v>23</v>
      </c>
      <c r="F3430" t="s">
        <v>44</v>
      </c>
      <c r="G3430">
        <v>2010</v>
      </c>
      <c r="H3430" t="s">
        <v>2702</v>
      </c>
      <c r="K3430" t="s">
        <v>25</v>
      </c>
      <c r="L3430" t="s">
        <v>30</v>
      </c>
      <c r="M3430" t="b">
        <v>1</v>
      </c>
      <c r="N3430" t="s">
        <v>8221</v>
      </c>
      <c r="Q3430" t="b">
        <v>0</v>
      </c>
      <c r="S3430" t="str">
        <f>"9780310290919"</f>
        <v>9780310290919</v>
      </c>
      <c r="T3430" t="str">
        <f>"9780310877677"</f>
        <v>9780310877677</v>
      </c>
      <c r="U3430" t="b">
        <v>0</v>
      </c>
      <c r="W3430" t="b">
        <v>0</v>
      </c>
    </row>
    <row r="3431" spans="1:23" x14ac:dyDescent="0.3">
      <c r="A3431">
        <v>1948363</v>
      </c>
      <c r="B3431">
        <v>65.52</v>
      </c>
      <c r="C3431" t="s">
        <v>8222</v>
      </c>
      <c r="D3431" t="s">
        <v>8223</v>
      </c>
      <c r="E3431" t="s">
        <v>49</v>
      </c>
      <c r="F3431" t="s">
        <v>44</v>
      </c>
      <c r="G3431">
        <v>2009</v>
      </c>
      <c r="H3431" t="s">
        <v>2702</v>
      </c>
      <c r="I3431" t="s">
        <v>8224</v>
      </c>
      <c r="J3431" t="s">
        <v>8225</v>
      </c>
      <c r="K3431" t="s">
        <v>25</v>
      </c>
      <c r="L3431" t="s">
        <v>30</v>
      </c>
      <c r="M3431" t="b">
        <v>1</v>
      </c>
      <c r="N3431" t="s">
        <v>6392</v>
      </c>
      <c r="O3431" t="str">
        <f>"261.0973"</f>
        <v>261.0973</v>
      </c>
      <c r="Q3431" t="b">
        <v>0</v>
      </c>
      <c r="S3431" t="str">
        <f>"9780310515920"</f>
        <v>9780310515920</v>
      </c>
      <c r="T3431" t="str">
        <f>"9780310574224"</f>
        <v>9780310574224</v>
      </c>
      <c r="U3431" t="b">
        <v>0</v>
      </c>
      <c r="W3431" t="b">
        <v>0</v>
      </c>
    </row>
    <row r="3432" spans="1:23" x14ac:dyDescent="0.3">
      <c r="A3432">
        <v>1948362</v>
      </c>
      <c r="B3432">
        <v>58.62</v>
      </c>
      <c r="C3432" t="s">
        <v>8226</v>
      </c>
      <c r="D3432" t="s">
        <v>2701</v>
      </c>
      <c r="E3432" t="s">
        <v>49</v>
      </c>
      <c r="F3432" t="s">
        <v>44</v>
      </c>
      <c r="G3432">
        <v>2013</v>
      </c>
      <c r="H3432" t="s">
        <v>751</v>
      </c>
      <c r="I3432" t="s">
        <v>8195</v>
      </c>
      <c r="J3432" t="s">
        <v>8227</v>
      </c>
      <c r="K3432" t="s">
        <v>25</v>
      </c>
      <c r="L3432" t="s">
        <v>30</v>
      </c>
      <c r="M3432" t="b">
        <v>1</v>
      </c>
      <c r="N3432" t="s">
        <v>280</v>
      </c>
      <c r="O3432" t="str">
        <f>"250"</f>
        <v>250</v>
      </c>
      <c r="Q3432" t="b">
        <v>0</v>
      </c>
      <c r="S3432" t="str">
        <f>"9780310494355"</f>
        <v>9780310494355</v>
      </c>
      <c r="T3432" t="str">
        <f>"9780310494362"</f>
        <v>9780310494362</v>
      </c>
      <c r="U3432" t="b">
        <v>0</v>
      </c>
      <c r="W3432" t="b">
        <v>0</v>
      </c>
    </row>
    <row r="3433" spans="1:23" x14ac:dyDescent="0.3">
      <c r="A3433">
        <v>1948361</v>
      </c>
      <c r="B3433">
        <v>44.82</v>
      </c>
      <c r="C3433" t="s">
        <v>8228</v>
      </c>
      <c r="D3433" t="s">
        <v>8229</v>
      </c>
      <c r="E3433" t="s">
        <v>49</v>
      </c>
      <c r="F3433" t="s">
        <v>44</v>
      </c>
      <c r="G3433">
        <v>2011</v>
      </c>
      <c r="H3433" t="s">
        <v>50</v>
      </c>
      <c r="K3433" t="s">
        <v>25</v>
      </c>
      <c r="L3433" t="s">
        <v>30</v>
      </c>
      <c r="M3433" t="b">
        <v>1</v>
      </c>
      <c r="N3433" t="s">
        <v>8230</v>
      </c>
      <c r="Q3433" t="b">
        <v>0</v>
      </c>
      <c r="S3433" t="str">
        <f>"9780310670858"</f>
        <v>9780310670858</v>
      </c>
      <c r="T3433" t="str">
        <f>"9780310589853"</f>
        <v>9780310589853</v>
      </c>
      <c r="U3433" t="b">
        <v>0</v>
      </c>
      <c r="W3433" t="b">
        <v>0</v>
      </c>
    </row>
    <row r="3434" spans="1:23" x14ac:dyDescent="0.3">
      <c r="A3434">
        <v>1948360</v>
      </c>
      <c r="B3434">
        <v>206.97</v>
      </c>
      <c r="C3434" t="s">
        <v>8231</v>
      </c>
      <c r="D3434" t="s">
        <v>8232</v>
      </c>
      <c r="E3434" t="s">
        <v>49</v>
      </c>
      <c r="F3434" t="s">
        <v>106</v>
      </c>
      <c r="G3434">
        <v>2011</v>
      </c>
      <c r="H3434" t="s">
        <v>115</v>
      </c>
      <c r="I3434" t="s">
        <v>868</v>
      </c>
      <c r="J3434" t="s">
        <v>6731</v>
      </c>
      <c r="K3434" t="s">
        <v>25</v>
      </c>
      <c r="L3434" t="s">
        <v>30</v>
      </c>
      <c r="M3434" t="b">
        <v>1</v>
      </c>
      <c r="N3434" t="s">
        <v>1026</v>
      </c>
      <c r="O3434" t="str">
        <f>"230/.42"</f>
        <v>230/.42</v>
      </c>
      <c r="Q3434" t="b">
        <v>0</v>
      </c>
      <c r="S3434" t="str">
        <f>"9780310286042"</f>
        <v>9780310286042</v>
      </c>
      <c r="T3434" t="str">
        <f>"9780310409182"</f>
        <v>9780310409182</v>
      </c>
      <c r="U3434" t="b">
        <v>0</v>
      </c>
      <c r="W3434" t="b">
        <v>0</v>
      </c>
    </row>
    <row r="3435" spans="1:23" x14ac:dyDescent="0.3">
      <c r="A3435">
        <v>1948359</v>
      </c>
      <c r="B3435">
        <v>56.82</v>
      </c>
      <c r="C3435" t="s">
        <v>8233</v>
      </c>
      <c r="D3435" t="s">
        <v>8234</v>
      </c>
      <c r="E3435" t="s">
        <v>49</v>
      </c>
      <c r="F3435" t="s">
        <v>44</v>
      </c>
      <c r="G3435">
        <v>2008</v>
      </c>
      <c r="H3435" t="s">
        <v>751</v>
      </c>
      <c r="I3435" t="s">
        <v>8235</v>
      </c>
      <c r="J3435" t="s">
        <v>8236</v>
      </c>
      <c r="K3435" t="s">
        <v>25</v>
      </c>
      <c r="L3435" t="s">
        <v>30</v>
      </c>
      <c r="M3435" t="b">
        <v>1</v>
      </c>
      <c r="N3435" t="s">
        <v>8237</v>
      </c>
      <c r="O3435" t="str">
        <f>"277.308/3"</f>
        <v>277.308/3</v>
      </c>
      <c r="Q3435" t="b">
        <v>0</v>
      </c>
      <c r="T3435" t="str">
        <f>"9780310314011"</f>
        <v>9780310314011</v>
      </c>
      <c r="U3435" t="b">
        <v>0</v>
      </c>
      <c r="W3435" t="b">
        <v>0</v>
      </c>
    </row>
    <row r="3436" spans="1:23" x14ac:dyDescent="0.3">
      <c r="A3436">
        <v>1948358</v>
      </c>
      <c r="B3436">
        <v>37.92</v>
      </c>
      <c r="C3436" t="s">
        <v>8238</v>
      </c>
      <c r="D3436" t="s">
        <v>8239</v>
      </c>
      <c r="E3436" t="s">
        <v>49</v>
      </c>
      <c r="F3436" t="s">
        <v>44</v>
      </c>
      <c r="G3436">
        <v>2010</v>
      </c>
      <c r="H3436" t="s">
        <v>50</v>
      </c>
      <c r="K3436" t="s">
        <v>25</v>
      </c>
      <c r="L3436" t="s">
        <v>30</v>
      </c>
      <c r="M3436" t="b">
        <v>1</v>
      </c>
      <c r="N3436" t="s">
        <v>8240</v>
      </c>
      <c r="Q3436" t="b">
        <v>0</v>
      </c>
      <c r="S3436" t="str">
        <f>"9780310208082"</f>
        <v>9780310208082</v>
      </c>
      <c r="T3436" t="str">
        <f>"9780310873945"</f>
        <v>9780310873945</v>
      </c>
      <c r="U3436" t="b">
        <v>0</v>
      </c>
      <c r="W3436" t="b">
        <v>0</v>
      </c>
    </row>
    <row r="3437" spans="1:23" x14ac:dyDescent="0.3">
      <c r="A3437">
        <v>1948357</v>
      </c>
      <c r="B3437">
        <v>53.27</v>
      </c>
      <c r="C3437" t="s">
        <v>8241</v>
      </c>
      <c r="D3437" t="s">
        <v>8242</v>
      </c>
      <c r="E3437" t="s">
        <v>23</v>
      </c>
      <c r="F3437" t="s">
        <v>44</v>
      </c>
      <c r="G3437">
        <v>2009</v>
      </c>
      <c r="H3437" t="s">
        <v>3527</v>
      </c>
      <c r="K3437" t="s">
        <v>25</v>
      </c>
      <c r="L3437" t="s">
        <v>30</v>
      </c>
      <c r="M3437" t="b">
        <v>1</v>
      </c>
      <c r="N3437" t="s">
        <v>8243</v>
      </c>
      <c r="Q3437" t="b">
        <v>0</v>
      </c>
      <c r="S3437" t="str">
        <f>"9780310285304"</f>
        <v>9780310285304</v>
      </c>
      <c r="T3437" t="str">
        <f>"9780310590675"</f>
        <v>9780310590675</v>
      </c>
      <c r="U3437" t="b">
        <v>0</v>
      </c>
      <c r="W3437" t="b">
        <v>0</v>
      </c>
    </row>
    <row r="3438" spans="1:23" x14ac:dyDescent="0.3">
      <c r="A3438">
        <v>1948356</v>
      </c>
      <c r="B3438">
        <v>120.72</v>
      </c>
      <c r="C3438" t="s">
        <v>8244</v>
      </c>
      <c r="D3438" t="s">
        <v>8245</v>
      </c>
      <c r="E3438" t="s">
        <v>49</v>
      </c>
      <c r="F3438" t="s">
        <v>44</v>
      </c>
      <c r="G3438">
        <v>2010</v>
      </c>
      <c r="H3438" t="s">
        <v>50</v>
      </c>
      <c r="I3438" t="s">
        <v>8246</v>
      </c>
      <c r="J3438" t="s">
        <v>8247</v>
      </c>
      <c r="K3438" t="s">
        <v>25</v>
      </c>
      <c r="L3438" t="s">
        <v>30</v>
      </c>
      <c r="M3438" t="b">
        <v>1</v>
      </c>
      <c r="N3438" t="s">
        <v>8248</v>
      </c>
      <c r="O3438" t="str">
        <f>"268/.433"</f>
        <v>268/.433</v>
      </c>
      <c r="P3438" t="s">
        <v>7172</v>
      </c>
      <c r="Q3438" t="b">
        <v>0</v>
      </c>
      <c r="S3438" t="str">
        <f>"9780310252474"</f>
        <v>9780310252474</v>
      </c>
      <c r="T3438" t="str">
        <f>"9780310864301"</f>
        <v>9780310864301</v>
      </c>
      <c r="U3438" t="b">
        <v>0</v>
      </c>
      <c r="W3438" t="b">
        <v>0</v>
      </c>
    </row>
    <row r="3439" spans="1:23" x14ac:dyDescent="0.3">
      <c r="A3439">
        <v>1948355</v>
      </c>
      <c r="B3439">
        <v>58.62</v>
      </c>
      <c r="C3439" t="s">
        <v>8249</v>
      </c>
      <c r="D3439" t="s">
        <v>8250</v>
      </c>
      <c r="E3439" t="s">
        <v>49</v>
      </c>
      <c r="F3439" t="s">
        <v>44</v>
      </c>
      <c r="G3439">
        <v>2011</v>
      </c>
      <c r="H3439" t="s">
        <v>2933</v>
      </c>
      <c r="I3439" t="s">
        <v>8251</v>
      </c>
      <c r="J3439" t="s">
        <v>895</v>
      </c>
      <c r="K3439" t="s">
        <v>25</v>
      </c>
      <c r="L3439" t="s">
        <v>30</v>
      </c>
      <c r="M3439" t="b">
        <v>1</v>
      </c>
      <c r="N3439" t="s">
        <v>8252</v>
      </c>
      <c r="O3439" t="str">
        <f>"268"</f>
        <v>268</v>
      </c>
      <c r="Q3439" t="b">
        <v>0</v>
      </c>
      <c r="S3439" t="str">
        <f>"9780310223474"</f>
        <v>9780310223474</v>
      </c>
      <c r="T3439" t="str">
        <f>"9780310864295"</f>
        <v>9780310864295</v>
      </c>
      <c r="U3439" t="b">
        <v>0</v>
      </c>
      <c r="W3439" t="b">
        <v>0</v>
      </c>
    </row>
    <row r="3440" spans="1:23" x14ac:dyDescent="0.3">
      <c r="A3440">
        <v>1948354</v>
      </c>
      <c r="B3440">
        <v>55.17</v>
      </c>
      <c r="C3440" t="s">
        <v>8253</v>
      </c>
      <c r="D3440" t="s">
        <v>8254</v>
      </c>
      <c r="E3440" t="s">
        <v>23</v>
      </c>
      <c r="F3440" t="s">
        <v>44</v>
      </c>
      <c r="G3440">
        <v>2011</v>
      </c>
      <c r="H3440" t="s">
        <v>50</v>
      </c>
      <c r="I3440" t="s">
        <v>7151</v>
      </c>
      <c r="J3440" t="s">
        <v>7162</v>
      </c>
      <c r="K3440" t="s">
        <v>25</v>
      </c>
      <c r="L3440" t="s">
        <v>26</v>
      </c>
      <c r="M3440" t="b">
        <v>1</v>
      </c>
      <c r="N3440" t="s">
        <v>8255</v>
      </c>
      <c r="O3440" t="str">
        <f>"268/.433"</f>
        <v>268/.433</v>
      </c>
      <c r="Q3440" t="b">
        <v>0</v>
      </c>
      <c r="S3440" t="str">
        <f>"9780310233138"</f>
        <v>9780310233138</v>
      </c>
      <c r="T3440" t="str">
        <f>"9780310864288"</f>
        <v>9780310864288</v>
      </c>
      <c r="U3440" t="b">
        <v>0</v>
      </c>
      <c r="W3440" t="b">
        <v>0</v>
      </c>
    </row>
    <row r="3441" spans="1:23" x14ac:dyDescent="0.3">
      <c r="A3441">
        <v>1948350</v>
      </c>
      <c r="B3441">
        <v>58.62</v>
      </c>
      <c r="C3441" t="s">
        <v>8256</v>
      </c>
      <c r="D3441" t="s">
        <v>8257</v>
      </c>
      <c r="E3441" t="s">
        <v>49</v>
      </c>
      <c r="F3441" t="s">
        <v>44</v>
      </c>
      <c r="G3441">
        <v>2011</v>
      </c>
      <c r="H3441" t="s">
        <v>50</v>
      </c>
      <c r="I3441" t="s">
        <v>8258</v>
      </c>
      <c r="J3441" t="s">
        <v>4740</v>
      </c>
      <c r="K3441" t="s">
        <v>25</v>
      </c>
      <c r="L3441" t="s">
        <v>26</v>
      </c>
      <c r="M3441" t="b">
        <v>1</v>
      </c>
      <c r="N3441" t="s">
        <v>8259</v>
      </c>
      <c r="O3441" t="str">
        <f>"248.8/45"</f>
        <v>248.8/45</v>
      </c>
      <c r="Q3441" t="b">
        <v>0</v>
      </c>
      <c r="S3441" t="str">
        <f>"9780310889243"</f>
        <v>9780310889243</v>
      </c>
      <c r="T3441" t="str">
        <f>"9780310889250"</f>
        <v>9780310889250</v>
      </c>
      <c r="U3441" t="b">
        <v>0</v>
      </c>
      <c r="W3441" t="b">
        <v>0</v>
      </c>
    </row>
    <row r="3442" spans="1:23" x14ac:dyDescent="0.3">
      <c r="A3442">
        <v>1948349</v>
      </c>
      <c r="B3442">
        <v>34.47</v>
      </c>
      <c r="C3442" t="s">
        <v>8260</v>
      </c>
      <c r="E3442" t="s">
        <v>49</v>
      </c>
      <c r="F3442" t="s">
        <v>44</v>
      </c>
      <c r="G3442">
        <v>2009</v>
      </c>
      <c r="H3442" t="s">
        <v>68</v>
      </c>
      <c r="K3442" t="s">
        <v>25</v>
      </c>
      <c r="L3442" t="s">
        <v>30</v>
      </c>
      <c r="M3442" t="b">
        <v>1</v>
      </c>
      <c r="N3442" t="s">
        <v>8261</v>
      </c>
      <c r="Q3442" t="b">
        <v>0</v>
      </c>
      <c r="S3442" t="str">
        <f>"9780310275503"</f>
        <v>9780310275503</v>
      </c>
      <c r="T3442" t="str">
        <f>"9780310864165"</f>
        <v>9780310864165</v>
      </c>
      <c r="U3442" t="b">
        <v>0</v>
      </c>
      <c r="W3442" t="b">
        <v>0</v>
      </c>
    </row>
    <row r="3443" spans="1:23" x14ac:dyDescent="0.3">
      <c r="A3443">
        <v>1948348</v>
      </c>
      <c r="B3443">
        <v>49.71</v>
      </c>
      <c r="C3443" t="s">
        <v>8262</v>
      </c>
      <c r="D3443" t="s">
        <v>8263</v>
      </c>
      <c r="E3443" t="s">
        <v>49</v>
      </c>
      <c r="F3443" t="s">
        <v>44</v>
      </c>
      <c r="G3443">
        <v>2009</v>
      </c>
      <c r="H3443" t="s">
        <v>751</v>
      </c>
      <c r="K3443" t="s">
        <v>25</v>
      </c>
      <c r="L3443" t="s">
        <v>30</v>
      </c>
      <c r="M3443" t="b">
        <v>1</v>
      </c>
      <c r="N3443" t="s">
        <v>4965</v>
      </c>
      <c r="Q3443" t="b">
        <v>0</v>
      </c>
      <c r="S3443" t="str">
        <f>"9780310243120"</f>
        <v>9780310243120</v>
      </c>
      <c r="T3443" t="str">
        <f>"9780310865537"</f>
        <v>9780310865537</v>
      </c>
      <c r="U3443" t="b">
        <v>0</v>
      </c>
      <c r="W3443" t="b">
        <v>0</v>
      </c>
    </row>
    <row r="3444" spans="1:23" x14ac:dyDescent="0.3">
      <c r="A3444">
        <v>1948347</v>
      </c>
      <c r="B3444">
        <v>58.62</v>
      </c>
      <c r="C3444" t="s">
        <v>8264</v>
      </c>
      <c r="D3444" t="s">
        <v>8265</v>
      </c>
      <c r="E3444" t="s">
        <v>23</v>
      </c>
      <c r="F3444" t="s">
        <v>44</v>
      </c>
      <c r="G3444">
        <v>2009</v>
      </c>
      <c r="H3444" t="s">
        <v>50</v>
      </c>
      <c r="I3444" t="s">
        <v>8266</v>
      </c>
      <c r="J3444" t="s">
        <v>8267</v>
      </c>
      <c r="K3444" t="s">
        <v>25</v>
      </c>
      <c r="L3444" t="s">
        <v>30</v>
      </c>
      <c r="M3444" t="b">
        <v>1</v>
      </c>
      <c r="N3444" t="s">
        <v>8268</v>
      </c>
      <c r="O3444" t="str">
        <f>"253/.7"</f>
        <v>253/.7</v>
      </c>
      <c r="Q3444" t="b">
        <v>0</v>
      </c>
      <c r="S3444" t="str">
        <f>"9780310259527"</f>
        <v>9780310259527</v>
      </c>
      <c r="T3444" t="str">
        <f>"9780310864103"</f>
        <v>9780310864103</v>
      </c>
      <c r="U3444" t="b">
        <v>0</v>
      </c>
      <c r="V3444" t="s">
        <v>6095</v>
      </c>
      <c r="W3444" t="b">
        <v>0</v>
      </c>
    </row>
    <row r="3445" spans="1:23" x14ac:dyDescent="0.3">
      <c r="A3445">
        <v>1948346</v>
      </c>
      <c r="B3445">
        <v>68.97</v>
      </c>
      <c r="C3445" t="s">
        <v>8269</v>
      </c>
      <c r="D3445" t="s">
        <v>8270</v>
      </c>
      <c r="E3445" t="s">
        <v>49</v>
      </c>
      <c r="F3445" t="s">
        <v>44</v>
      </c>
      <c r="G3445">
        <v>2011</v>
      </c>
      <c r="H3445" t="s">
        <v>50</v>
      </c>
      <c r="I3445" t="s">
        <v>7468</v>
      </c>
      <c r="J3445" t="s">
        <v>8271</v>
      </c>
      <c r="K3445" t="s">
        <v>25</v>
      </c>
      <c r="L3445" t="s">
        <v>26</v>
      </c>
      <c r="M3445" t="b">
        <v>1</v>
      </c>
      <c r="N3445" t="s">
        <v>7470</v>
      </c>
      <c r="O3445" t="str">
        <f>"268/.67"</f>
        <v>268/.67</v>
      </c>
      <c r="Q3445" t="b">
        <v>0</v>
      </c>
      <c r="S3445" t="str">
        <f>"9780310891994"</f>
        <v>9780310891994</v>
      </c>
      <c r="T3445" t="str">
        <f>"9780310892007"</f>
        <v>9780310892007</v>
      </c>
      <c r="U3445" t="b">
        <v>0</v>
      </c>
      <c r="W3445" t="b">
        <v>0</v>
      </c>
    </row>
    <row r="3446" spans="1:23" x14ac:dyDescent="0.3">
      <c r="A3446">
        <v>1948345</v>
      </c>
      <c r="B3446">
        <v>49.71</v>
      </c>
      <c r="C3446" t="s">
        <v>8272</v>
      </c>
      <c r="D3446" t="s">
        <v>8273</v>
      </c>
      <c r="E3446" t="s">
        <v>49</v>
      </c>
      <c r="F3446" t="s">
        <v>44</v>
      </c>
      <c r="G3446">
        <v>2009</v>
      </c>
      <c r="H3446" t="s">
        <v>5369</v>
      </c>
      <c r="K3446" t="s">
        <v>25</v>
      </c>
      <c r="L3446" t="s">
        <v>26</v>
      </c>
      <c r="M3446" t="b">
        <v>1</v>
      </c>
      <c r="N3446" t="s">
        <v>8274</v>
      </c>
      <c r="Q3446" t="b">
        <v>0</v>
      </c>
      <c r="T3446" t="str">
        <f>"9780310314134"</f>
        <v>9780310314134</v>
      </c>
      <c r="U3446" t="b">
        <v>0</v>
      </c>
      <c r="W3446" t="b">
        <v>0</v>
      </c>
    </row>
    <row r="3447" spans="1:23" x14ac:dyDescent="0.3">
      <c r="A3447">
        <v>1948342</v>
      </c>
      <c r="B3447">
        <v>65.52</v>
      </c>
      <c r="C3447" t="s">
        <v>8275</v>
      </c>
      <c r="D3447" t="s">
        <v>8276</v>
      </c>
      <c r="E3447" t="s">
        <v>49</v>
      </c>
      <c r="F3447" t="s">
        <v>44</v>
      </c>
      <c r="G3447">
        <v>2009</v>
      </c>
      <c r="H3447" t="s">
        <v>822</v>
      </c>
      <c r="K3447" t="s">
        <v>25</v>
      </c>
      <c r="L3447" t="s">
        <v>30</v>
      </c>
      <c r="M3447" t="b">
        <v>1</v>
      </c>
      <c r="N3447" t="s">
        <v>8277</v>
      </c>
      <c r="P3447" t="s">
        <v>4756</v>
      </c>
      <c r="Q3447" t="b">
        <v>0</v>
      </c>
      <c r="S3447" t="str">
        <f>"9780310287636"</f>
        <v>9780310287636</v>
      </c>
      <c r="T3447" t="str">
        <f>"9780310788935"</f>
        <v>9780310788935</v>
      </c>
      <c r="U3447" t="b">
        <v>0</v>
      </c>
      <c r="W3447" t="b">
        <v>0</v>
      </c>
    </row>
    <row r="3448" spans="1:23" x14ac:dyDescent="0.3">
      <c r="A3448">
        <v>1948340</v>
      </c>
      <c r="B3448">
        <v>27.57</v>
      </c>
      <c r="C3448" t="s">
        <v>8278</v>
      </c>
      <c r="E3448" t="s">
        <v>49</v>
      </c>
      <c r="F3448" t="s">
        <v>44</v>
      </c>
      <c r="G3448">
        <v>2009</v>
      </c>
      <c r="H3448" t="s">
        <v>5369</v>
      </c>
      <c r="K3448" t="s">
        <v>25</v>
      </c>
      <c r="L3448" t="s">
        <v>30</v>
      </c>
      <c r="M3448" t="b">
        <v>1</v>
      </c>
      <c r="N3448" t="s">
        <v>8279</v>
      </c>
      <c r="P3448" t="s">
        <v>8280</v>
      </c>
      <c r="Q3448" t="b">
        <v>0</v>
      </c>
      <c r="S3448" t="str">
        <f>"9780310241041"</f>
        <v>9780310241041</v>
      </c>
      <c r="T3448" t="str">
        <f>"9780310833567"</f>
        <v>9780310833567</v>
      </c>
      <c r="U3448" t="b">
        <v>0</v>
      </c>
      <c r="W3448" t="b">
        <v>0</v>
      </c>
    </row>
    <row r="3449" spans="1:23" x14ac:dyDescent="0.3">
      <c r="A3449">
        <v>1948339</v>
      </c>
      <c r="B3449">
        <v>27.57</v>
      </c>
      <c r="C3449" t="s">
        <v>8281</v>
      </c>
      <c r="E3449" t="s">
        <v>49</v>
      </c>
      <c r="F3449" t="s">
        <v>44</v>
      </c>
      <c r="G3449">
        <v>2009</v>
      </c>
      <c r="H3449" t="s">
        <v>5369</v>
      </c>
      <c r="K3449" t="s">
        <v>25</v>
      </c>
      <c r="L3449" t="s">
        <v>30</v>
      </c>
      <c r="M3449" t="b">
        <v>1</v>
      </c>
      <c r="N3449" t="s">
        <v>8282</v>
      </c>
      <c r="P3449" t="s">
        <v>8280</v>
      </c>
      <c r="Q3449" t="b">
        <v>0</v>
      </c>
      <c r="S3449" t="str">
        <f>"9780310241010"</f>
        <v>9780310241010</v>
      </c>
      <c r="T3449" t="str">
        <f>"9780310833505"</f>
        <v>9780310833505</v>
      </c>
      <c r="U3449" t="b">
        <v>0</v>
      </c>
      <c r="W3449" t="b">
        <v>0</v>
      </c>
    </row>
    <row r="3450" spans="1:23" x14ac:dyDescent="0.3">
      <c r="A3450">
        <v>1948338</v>
      </c>
      <c r="B3450">
        <v>27.57</v>
      </c>
      <c r="C3450" t="s">
        <v>8283</v>
      </c>
      <c r="E3450" t="s">
        <v>49</v>
      </c>
      <c r="F3450" t="s">
        <v>44</v>
      </c>
      <c r="G3450">
        <v>2009</v>
      </c>
      <c r="H3450" t="s">
        <v>5369</v>
      </c>
      <c r="I3450" t="s">
        <v>8284</v>
      </c>
      <c r="J3450" t="s">
        <v>895</v>
      </c>
      <c r="K3450" t="s">
        <v>25</v>
      </c>
      <c r="L3450" t="s">
        <v>30</v>
      </c>
      <c r="M3450" t="b">
        <v>1</v>
      </c>
      <c r="N3450" t="s">
        <v>8285</v>
      </c>
      <c r="O3450" t="str">
        <f>"253/.7"</f>
        <v>253/.7</v>
      </c>
      <c r="P3450" t="s">
        <v>8280</v>
      </c>
      <c r="Q3450" t="b">
        <v>0</v>
      </c>
      <c r="S3450" t="str">
        <f>"9780310241034"</f>
        <v>9780310241034</v>
      </c>
      <c r="T3450" t="str">
        <f>"9780310833444"</f>
        <v>9780310833444</v>
      </c>
      <c r="U3450" t="b">
        <v>0</v>
      </c>
      <c r="W3450" t="b">
        <v>0</v>
      </c>
    </row>
    <row r="3451" spans="1:23" x14ac:dyDescent="0.3">
      <c r="A3451">
        <v>1948337</v>
      </c>
      <c r="B3451">
        <v>27.57</v>
      </c>
      <c r="C3451" t="s">
        <v>8286</v>
      </c>
      <c r="E3451" t="s">
        <v>49</v>
      </c>
      <c r="F3451" t="s">
        <v>44</v>
      </c>
      <c r="G3451">
        <v>2009</v>
      </c>
      <c r="H3451" t="s">
        <v>5369</v>
      </c>
      <c r="K3451" t="s">
        <v>25</v>
      </c>
      <c r="L3451" t="s">
        <v>30</v>
      </c>
      <c r="M3451" t="b">
        <v>1</v>
      </c>
      <c r="N3451" t="s">
        <v>8287</v>
      </c>
      <c r="P3451" t="s">
        <v>8280</v>
      </c>
      <c r="Q3451" t="b">
        <v>0</v>
      </c>
      <c r="S3451" t="str">
        <f>"9780310241058"</f>
        <v>9780310241058</v>
      </c>
      <c r="T3451" t="str">
        <f>"9780310833383"</f>
        <v>9780310833383</v>
      </c>
      <c r="U3451" t="b">
        <v>0</v>
      </c>
      <c r="W3451" t="b">
        <v>0</v>
      </c>
    </row>
    <row r="3452" spans="1:23" x14ac:dyDescent="0.3">
      <c r="A3452">
        <v>1948336</v>
      </c>
      <c r="B3452">
        <v>27.57</v>
      </c>
      <c r="C3452" t="s">
        <v>8288</v>
      </c>
      <c r="E3452" t="s">
        <v>49</v>
      </c>
      <c r="F3452" t="s">
        <v>44</v>
      </c>
      <c r="G3452">
        <v>2010</v>
      </c>
      <c r="H3452" t="s">
        <v>5369</v>
      </c>
      <c r="K3452" t="s">
        <v>25</v>
      </c>
      <c r="L3452" t="s">
        <v>30</v>
      </c>
      <c r="M3452" t="b">
        <v>1</v>
      </c>
      <c r="N3452" t="s">
        <v>44</v>
      </c>
      <c r="P3452" t="s">
        <v>8280</v>
      </c>
      <c r="Q3452" t="b">
        <v>0</v>
      </c>
      <c r="S3452" t="str">
        <f>"9780310247647"</f>
        <v>9780310247647</v>
      </c>
      <c r="T3452" t="str">
        <f>"9780310833260"</f>
        <v>9780310833260</v>
      </c>
      <c r="U3452" t="b">
        <v>0</v>
      </c>
      <c r="W3452" t="b">
        <v>0</v>
      </c>
    </row>
    <row r="3453" spans="1:23" x14ac:dyDescent="0.3">
      <c r="A3453">
        <v>1948335</v>
      </c>
      <c r="B3453">
        <v>58.62</v>
      </c>
      <c r="C3453" t="s">
        <v>8289</v>
      </c>
      <c r="D3453" t="s">
        <v>8290</v>
      </c>
      <c r="E3453" t="s">
        <v>49</v>
      </c>
      <c r="F3453" t="s">
        <v>44</v>
      </c>
      <c r="G3453">
        <v>2010</v>
      </c>
      <c r="H3453" t="s">
        <v>756</v>
      </c>
      <c r="I3453" t="s">
        <v>8291</v>
      </c>
      <c r="J3453" t="s">
        <v>8292</v>
      </c>
      <c r="K3453" t="s">
        <v>25</v>
      </c>
      <c r="L3453" t="s">
        <v>30</v>
      </c>
      <c r="M3453" t="b">
        <v>1</v>
      </c>
      <c r="N3453" t="s">
        <v>6393</v>
      </c>
      <c r="O3453" t="str">
        <f>"248/.5"</f>
        <v>248/.5</v>
      </c>
      <c r="Q3453" t="b">
        <v>0</v>
      </c>
      <c r="S3453" t="str">
        <f>"9780310277170"</f>
        <v>9780310277170</v>
      </c>
      <c r="T3453" t="str">
        <f>"9780310302841"</f>
        <v>9780310302841</v>
      </c>
      <c r="U3453" t="b">
        <v>0</v>
      </c>
      <c r="W3453" t="b">
        <v>0</v>
      </c>
    </row>
    <row r="3454" spans="1:23" x14ac:dyDescent="0.3">
      <c r="A3454">
        <v>1948334</v>
      </c>
      <c r="B3454">
        <v>51.72</v>
      </c>
      <c r="C3454" t="s">
        <v>8293</v>
      </c>
      <c r="E3454" t="s">
        <v>49</v>
      </c>
      <c r="F3454" t="s">
        <v>44</v>
      </c>
      <c r="G3454">
        <v>2010</v>
      </c>
      <c r="H3454" t="s">
        <v>2702</v>
      </c>
      <c r="I3454" t="s">
        <v>8294</v>
      </c>
      <c r="J3454" t="s">
        <v>8295</v>
      </c>
      <c r="K3454" t="s">
        <v>25</v>
      </c>
      <c r="L3454" t="s">
        <v>30</v>
      </c>
      <c r="M3454" t="b">
        <v>1</v>
      </c>
      <c r="N3454" t="s">
        <v>8296</v>
      </c>
      <c r="O3454" t="str">
        <f>"289.9/5/0977311"</f>
        <v>289.9/5/0977311</v>
      </c>
      <c r="Q3454" t="b">
        <v>0</v>
      </c>
      <c r="S3454" t="str">
        <f>"9780310205531"</f>
        <v>9780310205531</v>
      </c>
      <c r="T3454" t="str">
        <f>"9780310877264"</f>
        <v>9780310877264</v>
      </c>
      <c r="U3454" t="b">
        <v>0</v>
      </c>
      <c r="V3454" t="s">
        <v>7104</v>
      </c>
      <c r="W3454" t="b">
        <v>0</v>
      </c>
    </row>
    <row r="3455" spans="1:23" x14ac:dyDescent="0.3">
      <c r="A3455">
        <v>1948329</v>
      </c>
      <c r="B3455">
        <v>51.72</v>
      </c>
      <c r="C3455" t="s">
        <v>8297</v>
      </c>
      <c r="D3455" t="s">
        <v>8298</v>
      </c>
      <c r="E3455" t="s">
        <v>49</v>
      </c>
      <c r="F3455" t="s">
        <v>44</v>
      </c>
      <c r="G3455">
        <v>2009</v>
      </c>
      <c r="H3455" t="s">
        <v>5369</v>
      </c>
      <c r="I3455" t="s">
        <v>8299</v>
      </c>
      <c r="J3455" t="s">
        <v>895</v>
      </c>
      <c r="K3455" t="s">
        <v>25</v>
      </c>
      <c r="L3455" t="s">
        <v>30</v>
      </c>
      <c r="M3455" t="b">
        <v>1</v>
      </c>
      <c r="N3455" t="s">
        <v>8300</v>
      </c>
      <c r="O3455" t="str">
        <f>"253"</f>
        <v>253</v>
      </c>
      <c r="Q3455" t="b">
        <v>0</v>
      </c>
      <c r="S3455" t="str">
        <f>"9780310251583"</f>
        <v>9780310251583</v>
      </c>
      <c r="T3455" t="str">
        <f>"9780310855569"</f>
        <v>9780310855569</v>
      </c>
      <c r="U3455" t="b">
        <v>0</v>
      </c>
      <c r="W3455" t="b">
        <v>0</v>
      </c>
    </row>
    <row r="3456" spans="1:23" x14ac:dyDescent="0.3">
      <c r="A3456">
        <v>1948328</v>
      </c>
      <c r="B3456">
        <v>63.93</v>
      </c>
      <c r="C3456" t="s">
        <v>8301</v>
      </c>
      <c r="D3456" t="s">
        <v>8302</v>
      </c>
      <c r="E3456" t="s">
        <v>49</v>
      </c>
      <c r="F3456" t="s">
        <v>44</v>
      </c>
      <c r="G3456">
        <v>2011</v>
      </c>
      <c r="H3456" t="s">
        <v>58</v>
      </c>
      <c r="K3456" t="s">
        <v>25</v>
      </c>
      <c r="L3456" t="s">
        <v>26</v>
      </c>
      <c r="M3456" t="b">
        <v>1</v>
      </c>
      <c r="N3456" t="s">
        <v>8303</v>
      </c>
      <c r="Q3456" t="b">
        <v>0</v>
      </c>
      <c r="T3456" t="str">
        <f>"9780310548034"</f>
        <v>9780310548034</v>
      </c>
      <c r="U3456" t="b">
        <v>0</v>
      </c>
      <c r="W3456" t="b">
        <v>0</v>
      </c>
    </row>
    <row r="3457" spans="1:23" x14ac:dyDescent="0.3">
      <c r="A3457">
        <v>1948326</v>
      </c>
      <c r="B3457">
        <v>37.92</v>
      </c>
      <c r="C3457" t="s">
        <v>8304</v>
      </c>
      <c r="D3457" t="s">
        <v>8305</v>
      </c>
      <c r="E3457" t="s">
        <v>23</v>
      </c>
      <c r="F3457" t="s">
        <v>44</v>
      </c>
      <c r="G3457">
        <v>2009</v>
      </c>
      <c r="H3457" t="s">
        <v>50</v>
      </c>
      <c r="K3457" t="s">
        <v>25</v>
      </c>
      <c r="L3457" t="s">
        <v>30</v>
      </c>
      <c r="M3457" t="b">
        <v>1</v>
      </c>
      <c r="N3457" t="s">
        <v>5770</v>
      </c>
      <c r="Q3457" t="b">
        <v>0</v>
      </c>
      <c r="S3457" t="str">
        <f>"9780310264583"</f>
        <v>9780310264583</v>
      </c>
      <c r="T3457" t="str">
        <f>"9780310863083"</f>
        <v>9780310863083</v>
      </c>
      <c r="U3457" t="b">
        <v>0</v>
      </c>
      <c r="W3457" t="b">
        <v>0</v>
      </c>
    </row>
    <row r="3458" spans="1:23" x14ac:dyDescent="0.3">
      <c r="A3458">
        <v>1948325</v>
      </c>
      <c r="B3458">
        <v>58.62</v>
      </c>
      <c r="C3458" t="s">
        <v>8306</v>
      </c>
      <c r="E3458" t="s">
        <v>23</v>
      </c>
      <c r="F3458" t="s">
        <v>44</v>
      </c>
      <c r="G3458">
        <v>2011</v>
      </c>
      <c r="H3458" t="s">
        <v>50</v>
      </c>
      <c r="K3458" t="s">
        <v>25</v>
      </c>
      <c r="L3458" t="s">
        <v>30</v>
      </c>
      <c r="M3458" t="b">
        <v>1</v>
      </c>
      <c r="N3458" t="s">
        <v>1443</v>
      </c>
      <c r="Q3458" t="b">
        <v>0</v>
      </c>
      <c r="S3458" t="str">
        <f>"9780310207689"</f>
        <v>9780310207689</v>
      </c>
      <c r="T3458" t="str">
        <f>"9780310863069"</f>
        <v>9780310863069</v>
      </c>
      <c r="U3458" t="b">
        <v>0</v>
      </c>
      <c r="W3458" t="b">
        <v>0</v>
      </c>
    </row>
    <row r="3459" spans="1:23" x14ac:dyDescent="0.3">
      <c r="A3459">
        <v>1948324</v>
      </c>
      <c r="B3459">
        <v>34.47</v>
      </c>
      <c r="C3459" t="s">
        <v>8307</v>
      </c>
      <c r="D3459" t="s">
        <v>8308</v>
      </c>
      <c r="E3459" t="s">
        <v>49</v>
      </c>
      <c r="F3459" t="s">
        <v>44</v>
      </c>
      <c r="G3459">
        <v>2011</v>
      </c>
      <c r="H3459" t="s">
        <v>50</v>
      </c>
      <c r="K3459" t="s">
        <v>25</v>
      </c>
      <c r="L3459" t="s">
        <v>30</v>
      </c>
      <c r="M3459" t="b">
        <v>1</v>
      </c>
      <c r="N3459" t="s">
        <v>8309</v>
      </c>
      <c r="Q3459" t="b">
        <v>0</v>
      </c>
      <c r="S3459" t="str">
        <f>"9780310671176"</f>
        <v>9780310671176</v>
      </c>
      <c r="T3459" t="str">
        <f>"9780310671183"</f>
        <v>9780310671183</v>
      </c>
      <c r="U3459" t="b">
        <v>0</v>
      </c>
      <c r="W3459" t="b">
        <v>0</v>
      </c>
    </row>
    <row r="3460" spans="1:23" x14ac:dyDescent="0.3">
      <c r="A3460">
        <v>1948323</v>
      </c>
      <c r="B3460">
        <v>53.27</v>
      </c>
      <c r="C3460" t="s">
        <v>8310</v>
      </c>
      <c r="D3460" t="s">
        <v>8311</v>
      </c>
      <c r="E3460" t="s">
        <v>23</v>
      </c>
      <c r="F3460" t="s">
        <v>44</v>
      </c>
      <c r="G3460">
        <v>2009</v>
      </c>
      <c r="H3460" t="s">
        <v>751</v>
      </c>
      <c r="K3460" t="s">
        <v>25</v>
      </c>
      <c r="L3460" t="s">
        <v>30</v>
      </c>
      <c r="M3460" t="b">
        <v>1</v>
      </c>
      <c r="N3460" t="s">
        <v>8312</v>
      </c>
      <c r="Q3460" t="b">
        <v>0</v>
      </c>
      <c r="T3460" t="str">
        <f>"9780310540144"</f>
        <v>9780310540144</v>
      </c>
      <c r="U3460" t="b">
        <v>0</v>
      </c>
      <c r="W3460" t="b">
        <v>0</v>
      </c>
    </row>
    <row r="3461" spans="1:23" x14ac:dyDescent="0.3">
      <c r="A3461">
        <v>1948320</v>
      </c>
      <c r="B3461">
        <v>62.07</v>
      </c>
      <c r="C3461" t="s">
        <v>8313</v>
      </c>
      <c r="D3461" t="s">
        <v>8314</v>
      </c>
      <c r="E3461" t="s">
        <v>49</v>
      </c>
      <c r="F3461" t="s">
        <v>44</v>
      </c>
      <c r="G3461">
        <v>2003</v>
      </c>
      <c r="H3461" t="s">
        <v>1122</v>
      </c>
      <c r="I3461" t="s">
        <v>8315</v>
      </c>
      <c r="J3461" t="s">
        <v>8316</v>
      </c>
      <c r="K3461" t="s">
        <v>25</v>
      </c>
      <c r="L3461" t="s">
        <v>26</v>
      </c>
      <c r="M3461" t="b">
        <v>1</v>
      </c>
      <c r="N3461" t="s">
        <v>2509</v>
      </c>
      <c r="O3461" t="str">
        <f>"253/.7"</f>
        <v>253/.7</v>
      </c>
      <c r="Q3461" t="b">
        <v>0</v>
      </c>
      <c r="S3461" t="str">
        <f>"9780310250289"</f>
        <v>9780310250289</v>
      </c>
      <c r="T3461" t="str">
        <f>"9780310859406"</f>
        <v>9780310859406</v>
      </c>
      <c r="U3461" t="b">
        <v>0</v>
      </c>
      <c r="W3461" t="b">
        <v>0</v>
      </c>
    </row>
    <row r="3462" spans="1:23" x14ac:dyDescent="0.3">
      <c r="A3462">
        <v>1948317</v>
      </c>
      <c r="B3462">
        <v>39.049999999999997</v>
      </c>
      <c r="C3462" t="s">
        <v>8317</v>
      </c>
      <c r="D3462" t="s">
        <v>8318</v>
      </c>
      <c r="E3462" t="s">
        <v>49</v>
      </c>
      <c r="F3462" t="s">
        <v>44</v>
      </c>
      <c r="G3462">
        <v>2011</v>
      </c>
      <c r="H3462" t="s">
        <v>50</v>
      </c>
      <c r="K3462" t="s">
        <v>25</v>
      </c>
      <c r="L3462" t="s">
        <v>30</v>
      </c>
      <c r="M3462" t="b">
        <v>1</v>
      </c>
      <c r="N3462" t="s">
        <v>8319</v>
      </c>
      <c r="Q3462" t="b">
        <v>0</v>
      </c>
      <c r="S3462" t="str">
        <f>"9780310329091"</f>
        <v>9780310329091</v>
      </c>
      <c r="T3462" t="str">
        <f>"9780310415930"</f>
        <v>9780310415930</v>
      </c>
      <c r="U3462" t="b">
        <v>0</v>
      </c>
      <c r="W3462" t="b">
        <v>0</v>
      </c>
    </row>
    <row r="3463" spans="1:23" x14ac:dyDescent="0.3">
      <c r="A3463">
        <v>1948315</v>
      </c>
      <c r="B3463">
        <v>51.72</v>
      </c>
      <c r="C3463" t="s">
        <v>8320</v>
      </c>
      <c r="D3463" t="s">
        <v>8321</v>
      </c>
      <c r="E3463" t="s">
        <v>49</v>
      </c>
      <c r="F3463" t="s">
        <v>44</v>
      </c>
      <c r="G3463">
        <v>2012</v>
      </c>
      <c r="H3463" t="s">
        <v>56</v>
      </c>
      <c r="K3463" t="s">
        <v>25</v>
      </c>
      <c r="L3463" t="s">
        <v>30</v>
      </c>
      <c r="M3463" t="b">
        <v>1</v>
      </c>
      <c r="N3463" t="s">
        <v>4196</v>
      </c>
      <c r="Q3463" t="b">
        <v>0</v>
      </c>
      <c r="S3463" t="str">
        <f>"9780310326052"</f>
        <v>9780310326052</v>
      </c>
      <c r="T3463" t="str">
        <f>"9780310589563"</f>
        <v>9780310589563</v>
      </c>
      <c r="U3463" t="b">
        <v>0</v>
      </c>
      <c r="W3463" t="b">
        <v>0</v>
      </c>
    </row>
    <row r="3464" spans="1:23" x14ac:dyDescent="0.3">
      <c r="A3464">
        <v>1948314</v>
      </c>
      <c r="B3464">
        <v>42.61</v>
      </c>
      <c r="C3464" t="s">
        <v>8322</v>
      </c>
      <c r="D3464" t="s">
        <v>8323</v>
      </c>
      <c r="E3464" t="s">
        <v>49</v>
      </c>
      <c r="F3464" t="s">
        <v>44</v>
      </c>
      <c r="G3464">
        <v>2009</v>
      </c>
      <c r="H3464" t="s">
        <v>2702</v>
      </c>
      <c r="I3464" t="s">
        <v>8324</v>
      </c>
      <c r="J3464" t="s">
        <v>8325</v>
      </c>
      <c r="K3464" t="s">
        <v>25</v>
      </c>
      <c r="L3464" t="s">
        <v>30</v>
      </c>
      <c r="M3464" t="b">
        <v>1</v>
      </c>
      <c r="N3464" t="s">
        <v>4196</v>
      </c>
      <c r="O3464" t="str">
        <f>"259/.22"</f>
        <v>259/.22</v>
      </c>
      <c r="Q3464" t="b">
        <v>0</v>
      </c>
      <c r="S3464" t="str">
        <f>"9780310263821"</f>
        <v>9780310263821</v>
      </c>
      <c r="T3464" t="str">
        <f>"9780310570240"</f>
        <v>9780310570240</v>
      </c>
      <c r="U3464" t="b">
        <v>0</v>
      </c>
      <c r="W3464" t="b">
        <v>0</v>
      </c>
    </row>
    <row r="3465" spans="1:23" x14ac:dyDescent="0.3">
      <c r="A3465">
        <v>1948312</v>
      </c>
      <c r="B3465">
        <v>37.92</v>
      </c>
      <c r="C3465" t="s">
        <v>8326</v>
      </c>
      <c r="D3465" t="s">
        <v>8327</v>
      </c>
      <c r="E3465" t="s">
        <v>23</v>
      </c>
      <c r="F3465" t="s">
        <v>44</v>
      </c>
      <c r="G3465">
        <v>2010</v>
      </c>
      <c r="H3465" t="s">
        <v>2702</v>
      </c>
      <c r="I3465" t="s">
        <v>8328</v>
      </c>
      <c r="J3465" t="s">
        <v>6733</v>
      </c>
      <c r="K3465" t="s">
        <v>25</v>
      </c>
      <c r="L3465" t="s">
        <v>30</v>
      </c>
      <c r="M3465" t="b">
        <v>1</v>
      </c>
      <c r="N3465" t="s">
        <v>8329</v>
      </c>
      <c r="O3465" t="str">
        <f>"232.9/04"</f>
        <v>232.9/04</v>
      </c>
      <c r="Q3465" t="b">
        <v>0</v>
      </c>
      <c r="S3465" t="str">
        <f>"9780310242697"</f>
        <v>9780310242697</v>
      </c>
      <c r="T3465" t="str">
        <f>"9780310877684"</f>
        <v>9780310877684</v>
      </c>
      <c r="U3465" t="b">
        <v>0</v>
      </c>
      <c r="W3465" t="b">
        <v>0</v>
      </c>
    </row>
    <row r="3466" spans="1:23" x14ac:dyDescent="0.3">
      <c r="A3466">
        <v>1948310</v>
      </c>
      <c r="B3466">
        <v>39.049999999999997</v>
      </c>
      <c r="C3466" t="s">
        <v>8330</v>
      </c>
      <c r="E3466" t="s">
        <v>23</v>
      </c>
      <c r="F3466" t="s">
        <v>44</v>
      </c>
      <c r="G3466">
        <v>2009</v>
      </c>
      <c r="H3466" t="s">
        <v>734</v>
      </c>
      <c r="I3466" t="s">
        <v>6943</v>
      </c>
      <c r="J3466" t="s">
        <v>8331</v>
      </c>
      <c r="K3466" t="s">
        <v>25</v>
      </c>
      <c r="L3466" t="s">
        <v>30</v>
      </c>
      <c r="M3466" t="b">
        <v>1</v>
      </c>
      <c r="N3466" t="s">
        <v>8332</v>
      </c>
      <c r="O3466" t="str">
        <f>"270.8/3"</f>
        <v>270.8/3</v>
      </c>
      <c r="Q3466" t="b">
        <v>0</v>
      </c>
      <c r="S3466" t="str">
        <f>"9780310248842"</f>
        <v>9780310248842</v>
      </c>
      <c r="T3466" t="str">
        <f>"9780310862635"</f>
        <v>9780310862635</v>
      </c>
      <c r="U3466" t="b">
        <v>0</v>
      </c>
      <c r="W3466" t="b">
        <v>0</v>
      </c>
    </row>
    <row r="3467" spans="1:23" x14ac:dyDescent="0.3">
      <c r="A3467">
        <v>1948309</v>
      </c>
      <c r="B3467">
        <v>44.82</v>
      </c>
      <c r="C3467" t="s">
        <v>8333</v>
      </c>
      <c r="D3467" t="s">
        <v>8334</v>
      </c>
      <c r="E3467" t="s">
        <v>23</v>
      </c>
      <c r="F3467" t="s">
        <v>44</v>
      </c>
      <c r="G3467">
        <v>2010</v>
      </c>
      <c r="H3467" t="s">
        <v>3527</v>
      </c>
      <c r="K3467" t="s">
        <v>25</v>
      </c>
      <c r="L3467" t="s">
        <v>30</v>
      </c>
      <c r="M3467" t="b">
        <v>1</v>
      </c>
      <c r="N3467" t="s">
        <v>8335</v>
      </c>
      <c r="Q3467" t="b">
        <v>0</v>
      </c>
      <c r="S3467" t="str">
        <f>"9780310247289"</f>
        <v>9780310247289</v>
      </c>
      <c r="T3467" t="str">
        <f>"9780310872726"</f>
        <v>9780310872726</v>
      </c>
      <c r="U3467" t="b">
        <v>0</v>
      </c>
      <c r="W3467" t="b">
        <v>0</v>
      </c>
    </row>
    <row r="3468" spans="1:23" x14ac:dyDescent="0.3">
      <c r="A3468">
        <v>1948308</v>
      </c>
      <c r="B3468">
        <v>68.97</v>
      </c>
      <c r="C3468" t="s">
        <v>8336</v>
      </c>
      <c r="E3468" t="s">
        <v>49</v>
      </c>
      <c r="F3468" t="s">
        <v>44</v>
      </c>
      <c r="G3468">
        <v>2011</v>
      </c>
      <c r="H3468" t="s">
        <v>50</v>
      </c>
      <c r="I3468" t="s">
        <v>7151</v>
      </c>
      <c r="J3468" t="s">
        <v>7551</v>
      </c>
      <c r="K3468" t="s">
        <v>25</v>
      </c>
      <c r="L3468" t="s">
        <v>30</v>
      </c>
      <c r="M3468" t="b">
        <v>1</v>
      </c>
      <c r="N3468" t="s">
        <v>7356</v>
      </c>
      <c r="O3468" t="str">
        <f>"259.23"</f>
        <v>259.23</v>
      </c>
      <c r="P3468" t="s">
        <v>7484</v>
      </c>
      <c r="Q3468" t="b">
        <v>0</v>
      </c>
      <c r="S3468" t="str">
        <f>"9780310220404"</f>
        <v>9780310220404</v>
      </c>
      <c r="T3468" t="str">
        <f>"9780310864141"</f>
        <v>9780310864141</v>
      </c>
      <c r="U3468" t="b">
        <v>0</v>
      </c>
      <c r="W3468" t="b">
        <v>0</v>
      </c>
    </row>
    <row r="3469" spans="1:23" x14ac:dyDescent="0.3">
      <c r="A3469">
        <v>1948307</v>
      </c>
      <c r="B3469">
        <v>44.82</v>
      </c>
      <c r="C3469" t="s">
        <v>8337</v>
      </c>
      <c r="D3469" t="s">
        <v>8338</v>
      </c>
      <c r="E3469" t="s">
        <v>23</v>
      </c>
      <c r="F3469" t="s">
        <v>44</v>
      </c>
      <c r="G3469">
        <v>2010</v>
      </c>
      <c r="H3469" t="s">
        <v>2702</v>
      </c>
      <c r="K3469" t="s">
        <v>25</v>
      </c>
      <c r="L3469" t="s">
        <v>30</v>
      </c>
      <c r="M3469" t="b">
        <v>1</v>
      </c>
      <c r="N3469" t="s">
        <v>8339</v>
      </c>
      <c r="Q3469" t="b">
        <v>0</v>
      </c>
      <c r="S3469" t="str">
        <f>"9780310216551"</f>
        <v>9780310216551</v>
      </c>
      <c r="T3469" t="str">
        <f>"9780310877554"</f>
        <v>9780310877554</v>
      </c>
      <c r="U3469" t="b">
        <v>0</v>
      </c>
      <c r="W3469" t="b">
        <v>0</v>
      </c>
    </row>
    <row r="3470" spans="1:23" x14ac:dyDescent="0.3">
      <c r="A3470">
        <v>1948306</v>
      </c>
      <c r="B3470">
        <v>65.52</v>
      </c>
      <c r="C3470" t="s">
        <v>8340</v>
      </c>
      <c r="E3470" t="s">
        <v>49</v>
      </c>
      <c r="F3470" t="s">
        <v>44</v>
      </c>
      <c r="G3470">
        <v>2009</v>
      </c>
      <c r="H3470" t="s">
        <v>8341</v>
      </c>
      <c r="I3470" t="s">
        <v>8342</v>
      </c>
      <c r="J3470" t="s">
        <v>8343</v>
      </c>
      <c r="K3470" t="s">
        <v>25</v>
      </c>
      <c r="L3470" t="s">
        <v>30</v>
      </c>
      <c r="M3470" t="b">
        <v>1</v>
      </c>
      <c r="N3470" t="s">
        <v>8344</v>
      </c>
      <c r="O3470" t="str">
        <f>"270"</f>
        <v>270</v>
      </c>
      <c r="Q3470" t="b">
        <v>0</v>
      </c>
      <c r="S3470" t="str">
        <f>"9780310264491"</f>
        <v>9780310264491</v>
      </c>
      <c r="T3470" t="str">
        <f>"9780310862505"</f>
        <v>9780310862505</v>
      </c>
      <c r="U3470" t="b">
        <v>0</v>
      </c>
      <c r="W3470" t="b">
        <v>0</v>
      </c>
    </row>
    <row r="3471" spans="1:23" x14ac:dyDescent="0.3">
      <c r="A3471">
        <v>1948304</v>
      </c>
      <c r="B3471">
        <v>68.97</v>
      </c>
      <c r="C3471" t="s">
        <v>8345</v>
      </c>
      <c r="E3471" t="s">
        <v>49</v>
      </c>
      <c r="F3471" t="s">
        <v>44</v>
      </c>
      <c r="G3471">
        <v>2011</v>
      </c>
      <c r="H3471" t="s">
        <v>50</v>
      </c>
      <c r="I3471" t="s">
        <v>8346</v>
      </c>
      <c r="J3471" t="s">
        <v>8347</v>
      </c>
      <c r="K3471" t="s">
        <v>25</v>
      </c>
      <c r="L3471" t="s">
        <v>30</v>
      </c>
      <c r="M3471" t="b">
        <v>1</v>
      </c>
      <c r="N3471" t="s">
        <v>7356</v>
      </c>
      <c r="O3471" t="str">
        <f>"259.23"</f>
        <v>259.23</v>
      </c>
      <c r="P3471" t="s">
        <v>7484</v>
      </c>
      <c r="Q3471" t="b">
        <v>0</v>
      </c>
      <c r="S3471" t="str">
        <f>"9780310220367"</f>
        <v>9780310220367</v>
      </c>
      <c r="T3471" t="str">
        <f>"9780310862475"</f>
        <v>9780310862475</v>
      </c>
      <c r="U3471" t="b">
        <v>0</v>
      </c>
      <c r="W3471" t="b">
        <v>0</v>
      </c>
    </row>
    <row r="3472" spans="1:23" x14ac:dyDescent="0.3">
      <c r="A3472">
        <v>1948302</v>
      </c>
      <c r="B3472">
        <v>58.62</v>
      </c>
      <c r="C3472" t="s">
        <v>8348</v>
      </c>
      <c r="D3472" t="s">
        <v>8349</v>
      </c>
      <c r="E3472" t="s">
        <v>49</v>
      </c>
      <c r="F3472" t="s">
        <v>44</v>
      </c>
      <c r="G3472">
        <v>2009</v>
      </c>
      <c r="H3472" t="s">
        <v>751</v>
      </c>
      <c r="I3472" t="s">
        <v>8350</v>
      </c>
      <c r="J3472" t="s">
        <v>8351</v>
      </c>
      <c r="K3472" t="s">
        <v>25</v>
      </c>
      <c r="L3472" t="s">
        <v>30</v>
      </c>
      <c r="M3472" t="b">
        <v>1</v>
      </c>
      <c r="N3472" t="s">
        <v>8352</v>
      </c>
      <c r="O3472" t="str">
        <f>"254/.5"</f>
        <v>254/.5</v>
      </c>
      <c r="Q3472" t="b">
        <v>0</v>
      </c>
      <c r="S3472" t="str">
        <f>"9780310292098"</f>
        <v>9780310292098</v>
      </c>
      <c r="T3472" t="str">
        <f>"9780310322962"</f>
        <v>9780310322962</v>
      </c>
      <c r="U3472" t="b">
        <v>0</v>
      </c>
      <c r="W3472" t="b">
        <v>0</v>
      </c>
    </row>
    <row r="3473" spans="1:23" x14ac:dyDescent="0.3">
      <c r="A3473">
        <v>1948298</v>
      </c>
      <c r="B3473">
        <v>53.27</v>
      </c>
      <c r="C3473" t="s">
        <v>8353</v>
      </c>
      <c r="D3473" t="s">
        <v>8354</v>
      </c>
      <c r="E3473" t="s">
        <v>23</v>
      </c>
      <c r="F3473" t="s">
        <v>44</v>
      </c>
      <c r="G3473">
        <v>2009</v>
      </c>
      <c r="H3473" t="s">
        <v>751</v>
      </c>
      <c r="K3473" t="s">
        <v>25</v>
      </c>
      <c r="L3473" t="s">
        <v>30</v>
      </c>
      <c r="M3473" t="b">
        <v>1</v>
      </c>
      <c r="N3473" t="s">
        <v>6393</v>
      </c>
      <c r="Q3473" t="b">
        <v>0</v>
      </c>
      <c r="S3473" t="str">
        <f>"9780310267188"</f>
        <v>9780310267188</v>
      </c>
      <c r="T3473" t="str">
        <f>"9780310852087"</f>
        <v>9780310852087</v>
      </c>
      <c r="U3473" t="b">
        <v>0</v>
      </c>
      <c r="W3473" t="b">
        <v>0</v>
      </c>
    </row>
    <row r="3474" spans="1:23" x14ac:dyDescent="0.3">
      <c r="A3474">
        <v>1948295</v>
      </c>
      <c r="B3474">
        <v>46.16</v>
      </c>
      <c r="C3474" t="s">
        <v>8355</v>
      </c>
      <c r="D3474" t="s">
        <v>8356</v>
      </c>
      <c r="E3474" t="s">
        <v>23</v>
      </c>
      <c r="F3474" t="s">
        <v>44</v>
      </c>
      <c r="G3474">
        <v>2010</v>
      </c>
      <c r="H3474" t="s">
        <v>5369</v>
      </c>
      <c r="K3474" t="s">
        <v>25</v>
      </c>
      <c r="L3474" t="s">
        <v>30</v>
      </c>
      <c r="M3474" t="b">
        <v>1</v>
      </c>
      <c r="N3474" t="s">
        <v>8357</v>
      </c>
      <c r="Q3474" t="b">
        <v>0</v>
      </c>
      <c r="S3474" t="str">
        <f>"9780310244462"</f>
        <v>9780310244462</v>
      </c>
      <c r="T3474" t="str">
        <f>"9780310872443"</f>
        <v>9780310872443</v>
      </c>
      <c r="U3474" t="b">
        <v>0</v>
      </c>
      <c r="W3474" t="b">
        <v>0</v>
      </c>
    </row>
    <row r="3475" spans="1:23" x14ac:dyDescent="0.3">
      <c r="A3475">
        <v>1948293</v>
      </c>
      <c r="B3475">
        <v>44.82</v>
      </c>
      <c r="C3475" t="s">
        <v>8358</v>
      </c>
      <c r="D3475" t="s">
        <v>8359</v>
      </c>
      <c r="E3475" t="s">
        <v>23</v>
      </c>
      <c r="F3475" t="s">
        <v>44</v>
      </c>
      <c r="G3475">
        <v>1989</v>
      </c>
      <c r="H3475" t="s">
        <v>50</v>
      </c>
      <c r="I3475" t="s">
        <v>8360</v>
      </c>
      <c r="J3475" t="s">
        <v>7162</v>
      </c>
      <c r="K3475" t="s">
        <v>25</v>
      </c>
      <c r="L3475" t="s">
        <v>30</v>
      </c>
      <c r="M3475" t="b">
        <v>1</v>
      </c>
      <c r="N3475" t="s">
        <v>8361</v>
      </c>
      <c r="O3475" t="str">
        <f>"268/.433"</f>
        <v>268/.433</v>
      </c>
      <c r="Q3475" t="b">
        <v>0</v>
      </c>
      <c r="S3475" t="str">
        <f>"9780310525011"</f>
        <v>9780310525011</v>
      </c>
      <c r="T3475" t="str">
        <f>"9780310862154"</f>
        <v>9780310862154</v>
      </c>
      <c r="U3475" t="b">
        <v>0</v>
      </c>
      <c r="W3475" t="b">
        <v>0</v>
      </c>
    </row>
    <row r="3476" spans="1:23" x14ac:dyDescent="0.3">
      <c r="A3476">
        <v>1948292</v>
      </c>
      <c r="B3476">
        <v>68.97</v>
      </c>
      <c r="C3476" t="s">
        <v>8362</v>
      </c>
      <c r="E3476" t="s">
        <v>49</v>
      </c>
      <c r="F3476" t="s">
        <v>44</v>
      </c>
      <c r="G3476">
        <v>2001</v>
      </c>
      <c r="H3476" t="s">
        <v>50</v>
      </c>
      <c r="I3476" t="s">
        <v>7519</v>
      </c>
      <c r="J3476" t="s">
        <v>7520</v>
      </c>
      <c r="K3476" t="s">
        <v>25</v>
      </c>
      <c r="L3476" t="s">
        <v>26</v>
      </c>
      <c r="M3476" t="b">
        <v>1</v>
      </c>
      <c r="N3476" t="s">
        <v>7356</v>
      </c>
      <c r="O3476" t="str">
        <f>"790.1/922"</f>
        <v>790.1/922</v>
      </c>
      <c r="P3476" t="s">
        <v>7484</v>
      </c>
      <c r="Q3476" t="b">
        <v>0</v>
      </c>
      <c r="S3476" t="str">
        <f>"9780310231790"</f>
        <v>9780310231790</v>
      </c>
      <c r="T3476" t="str">
        <f>"9780310862147"</f>
        <v>9780310862147</v>
      </c>
      <c r="U3476" t="b">
        <v>0</v>
      </c>
      <c r="W3476" t="b">
        <v>0</v>
      </c>
    </row>
    <row r="3477" spans="1:23" x14ac:dyDescent="0.3">
      <c r="A3477">
        <v>1948288</v>
      </c>
      <c r="B3477">
        <v>155.22</v>
      </c>
      <c r="C3477" t="s">
        <v>8363</v>
      </c>
      <c r="D3477" t="s">
        <v>8364</v>
      </c>
      <c r="E3477" t="s">
        <v>49</v>
      </c>
      <c r="F3477" t="s">
        <v>106</v>
      </c>
      <c r="G3477">
        <v>2004</v>
      </c>
      <c r="H3477" t="s">
        <v>822</v>
      </c>
      <c r="I3477" t="s">
        <v>8365</v>
      </c>
      <c r="J3477" t="s">
        <v>8366</v>
      </c>
      <c r="K3477" t="s">
        <v>25</v>
      </c>
      <c r="L3477" t="s">
        <v>30</v>
      </c>
      <c r="M3477" t="b">
        <v>1</v>
      </c>
      <c r="N3477" t="s">
        <v>7680</v>
      </c>
      <c r="O3477" t="str">
        <f>"266/.0092/2;B"</f>
        <v>266/.0092/2;B</v>
      </c>
      <c r="Q3477" t="b">
        <v>0</v>
      </c>
      <c r="S3477" t="str">
        <f>"9780310239376"</f>
        <v>9780310239376</v>
      </c>
      <c r="T3477" t="str">
        <f>"9780310830627"</f>
        <v>9780310830627</v>
      </c>
      <c r="U3477" t="b">
        <v>0</v>
      </c>
      <c r="V3477" t="s">
        <v>6824</v>
      </c>
      <c r="W3477" t="b">
        <v>0</v>
      </c>
    </row>
    <row r="3478" spans="1:23" x14ac:dyDescent="0.3">
      <c r="A3478">
        <v>1948287</v>
      </c>
      <c r="B3478">
        <v>127.89</v>
      </c>
      <c r="C3478" t="s">
        <v>8367</v>
      </c>
      <c r="D3478" t="s">
        <v>6323</v>
      </c>
      <c r="E3478" t="s">
        <v>49</v>
      </c>
      <c r="F3478" t="s">
        <v>106</v>
      </c>
      <c r="G3478">
        <v>2017</v>
      </c>
      <c r="H3478" t="s">
        <v>57</v>
      </c>
      <c r="I3478" t="s">
        <v>6324</v>
      </c>
      <c r="K3478" t="s">
        <v>25</v>
      </c>
      <c r="L3478" t="s">
        <v>26</v>
      </c>
      <c r="M3478" t="b">
        <v>1</v>
      </c>
      <c r="N3478" t="s">
        <v>6325</v>
      </c>
      <c r="O3478" t="str">
        <f>"226.061"</f>
        <v>226.061</v>
      </c>
      <c r="Q3478" t="b">
        <v>0</v>
      </c>
      <c r="S3478" t="str">
        <f>"9780310226970"</f>
        <v>9780310226970</v>
      </c>
      <c r="T3478" t="str">
        <f>"9780310866152"</f>
        <v>9780310866152</v>
      </c>
      <c r="U3478" t="b">
        <v>0</v>
      </c>
      <c r="W3478" t="b">
        <v>0</v>
      </c>
    </row>
    <row r="3479" spans="1:23" x14ac:dyDescent="0.3">
      <c r="A3479">
        <v>1948286</v>
      </c>
      <c r="B3479">
        <v>65.52</v>
      </c>
      <c r="C3479" t="s">
        <v>8368</v>
      </c>
      <c r="D3479" t="s">
        <v>8369</v>
      </c>
      <c r="E3479" t="s">
        <v>49</v>
      </c>
      <c r="F3479" t="s">
        <v>44</v>
      </c>
      <c r="G3479">
        <v>2011</v>
      </c>
      <c r="H3479" t="s">
        <v>751</v>
      </c>
      <c r="K3479" t="s">
        <v>25</v>
      </c>
      <c r="L3479" t="s">
        <v>30</v>
      </c>
      <c r="M3479" t="b">
        <v>1</v>
      </c>
      <c r="N3479" t="s">
        <v>8370</v>
      </c>
      <c r="P3479" t="s">
        <v>5851</v>
      </c>
      <c r="Q3479" t="b">
        <v>0</v>
      </c>
      <c r="S3479" t="str">
        <f>"9780310330073"</f>
        <v>9780310330073</v>
      </c>
      <c r="T3479" t="str">
        <f>"9780310572497"</f>
        <v>9780310572497</v>
      </c>
      <c r="U3479" t="b">
        <v>0</v>
      </c>
      <c r="W3479" t="b">
        <v>0</v>
      </c>
    </row>
    <row r="3480" spans="1:23" x14ac:dyDescent="0.3">
      <c r="A3480">
        <v>1948285</v>
      </c>
      <c r="B3480">
        <v>58.62</v>
      </c>
      <c r="C3480" t="s">
        <v>8371</v>
      </c>
      <c r="D3480" t="s">
        <v>8372</v>
      </c>
      <c r="E3480" t="s">
        <v>49</v>
      </c>
      <c r="F3480" t="s">
        <v>44</v>
      </c>
      <c r="G3480">
        <v>2011</v>
      </c>
      <c r="H3480" t="s">
        <v>1181</v>
      </c>
      <c r="I3480" t="s">
        <v>7901</v>
      </c>
      <c r="J3480" t="s">
        <v>6985</v>
      </c>
      <c r="K3480" t="s">
        <v>25</v>
      </c>
      <c r="L3480" t="s">
        <v>30</v>
      </c>
      <c r="M3480" t="b">
        <v>1</v>
      </c>
      <c r="N3480" t="s">
        <v>3846</v>
      </c>
      <c r="O3480" t="str">
        <f>"251"</f>
        <v>251</v>
      </c>
      <c r="Q3480" t="b">
        <v>0</v>
      </c>
      <c r="S3480" t="str">
        <f>"9780310325611"</f>
        <v>9780310325611</v>
      </c>
      <c r="T3480" t="str">
        <f>"9780310395461"</f>
        <v>9780310395461</v>
      </c>
      <c r="U3480" t="b">
        <v>0</v>
      </c>
      <c r="W3480" t="b">
        <v>0</v>
      </c>
    </row>
    <row r="3481" spans="1:23" x14ac:dyDescent="0.3">
      <c r="A3481">
        <v>1948282</v>
      </c>
      <c r="B3481">
        <v>55.17</v>
      </c>
      <c r="C3481" t="s">
        <v>8373</v>
      </c>
      <c r="D3481" t="s">
        <v>8374</v>
      </c>
      <c r="E3481" t="s">
        <v>23</v>
      </c>
      <c r="F3481" t="s">
        <v>44</v>
      </c>
      <c r="G3481">
        <v>2010</v>
      </c>
      <c r="H3481" t="s">
        <v>107</v>
      </c>
      <c r="K3481" t="s">
        <v>25</v>
      </c>
      <c r="L3481" t="s">
        <v>30</v>
      </c>
      <c r="M3481" t="b">
        <v>1</v>
      </c>
      <c r="N3481" t="s">
        <v>1222</v>
      </c>
      <c r="Q3481" t="b">
        <v>0</v>
      </c>
      <c r="S3481" t="str">
        <f>"9780310328605"</f>
        <v>9780310328605</v>
      </c>
      <c r="T3481" t="str">
        <f>"9780310555889"</f>
        <v>9780310555889</v>
      </c>
      <c r="U3481" t="b">
        <v>0</v>
      </c>
      <c r="W3481" t="b">
        <v>0</v>
      </c>
    </row>
    <row r="3482" spans="1:23" x14ac:dyDescent="0.3">
      <c r="A3482">
        <v>1948281</v>
      </c>
      <c r="B3482">
        <v>65.52</v>
      </c>
      <c r="C3482" t="s">
        <v>8375</v>
      </c>
      <c r="D3482" t="s">
        <v>8376</v>
      </c>
      <c r="E3482" t="s">
        <v>49</v>
      </c>
      <c r="F3482" t="s">
        <v>44</v>
      </c>
      <c r="G3482">
        <v>2010</v>
      </c>
      <c r="H3482" t="s">
        <v>751</v>
      </c>
      <c r="I3482" t="s">
        <v>8377</v>
      </c>
      <c r="J3482" t="s">
        <v>6695</v>
      </c>
      <c r="K3482" t="s">
        <v>25</v>
      </c>
      <c r="L3482" t="s">
        <v>26</v>
      </c>
      <c r="M3482" t="b">
        <v>1</v>
      </c>
      <c r="N3482" t="s">
        <v>8378</v>
      </c>
      <c r="O3482" t="str">
        <f>"254/.1"</f>
        <v>254/.1</v>
      </c>
      <c r="P3482" t="s">
        <v>5851</v>
      </c>
      <c r="Q3482" t="b">
        <v>0</v>
      </c>
      <c r="S3482" t="str">
        <f>"9780310326786"</f>
        <v>9780310326786</v>
      </c>
      <c r="T3482" t="str">
        <f>"9780310586395"</f>
        <v>9780310586395</v>
      </c>
      <c r="U3482" t="b">
        <v>0</v>
      </c>
      <c r="W3482" t="b">
        <v>0</v>
      </c>
    </row>
    <row r="3483" spans="1:23" x14ac:dyDescent="0.3">
      <c r="A3483">
        <v>1948280</v>
      </c>
      <c r="B3483">
        <v>68.97</v>
      </c>
      <c r="C3483" t="s">
        <v>8379</v>
      </c>
      <c r="D3483" t="s">
        <v>8380</v>
      </c>
      <c r="E3483" t="s">
        <v>49</v>
      </c>
      <c r="F3483" t="s">
        <v>44</v>
      </c>
      <c r="G3483">
        <v>2004</v>
      </c>
      <c r="H3483" t="s">
        <v>1044</v>
      </c>
      <c r="I3483" t="s">
        <v>8381</v>
      </c>
      <c r="J3483" t="s">
        <v>6282</v>
      </c>
      <c r="K3483" t="s">
        <v>25</v>
      </c>
      <c r="L3483" t="s">
        <v>30</v>
      </c>
      <c r="M3483" t="b">
        <v>1</v>
      </c>
      <c r="N3483" t="s">
        <v>44</v>
      </c>
      <c r="O3483" t="str">
        <f>"264"</f>
        <v>264</v>
      </c>
      <c r="P3483" t="s">
        <v>925</v>
      </c>
      <c r="Q3483" t="b">
        <v>0</v>
      </c>
      <c r="S3483" t="str">
        <f>"9780310247593"</f>
        <v>9780310247593</v>
      </c>
      <c r="T3483" t="str">
        <f>"9780310861904"</f>
        <v>9780310861904</v>
      </c>
      <c r="U3483" t="b">
        <v>0</v>
      </c>
      <c r="W3483" t="b">
        <v>0</v>
      </c>
    </row>
    <row r="3484" spans="1:23" x14ac:dyDescent="0.3">
      <c r="A3484">
        <v>1948278</v>
      </c>
      <c r="B3484">
        <v>44.82</v>
      </c>
      <c r="C3484" t="s">
        <v>8382</v>
      </c>
      <c r="D3484" t="s">
        <v>8383</v>
      </c>
      <c r="E3484" t="s">
        <v>23</v>
      </c>
      <c r="F3484" t="s">
        <v>44</v>
      </c>
      <c r="G3484">
        <v>2011</v>
      </c>
      <c r="H3484" t="s">
        <v>50</v>
      </c>
      <c r="I3484" t="s">
        <v>7151</v>
      </c>
      <c r="J3484" t="s">
        <v>8384</v>
      </c>
      <c r="K3484" t="s">
        <v>25</v>
      </c>
      <c r="L3484" t="s">
        <v>30</v>
      </c>
      <c r="M3484" t="b">
        <v>1</v>
      </c>
      <c r="N3484" t="s">
        <v>8385</v>
      </c>
      <c r="O3484" t="str">
        <f>"268/.433"</f>
        <v>268/.433</v>
      </c>
      <c r="Q3484" t="b">
        <v>0</v>
      </c>
      <c r="S3484" t="str">
        <f>"9780310226529"</f>
        <v>9780310226529</v>
      </c>
      <c r="T3484" t="str">
        <f>"9780310861874"</f>
        <v>9780310861874</v>
      </c>
      <c r="U3484" t="b">
        <v>0</v>
      </c>
      <c r="W3484" t="b">
        <v>0</v>
      </c>
    </row>
    <row r="3485" spans="1:23" x14ac:dyDescent="0.3">
      <c r="A3485">
        <v>1948275</v>
      </c>
      <c r="B3485">
        <v>68.97</v>
      </c>
      <c r="C3485" t="s">
        <v>8386</v>
      </c>
      <c r="D3485" t="s">
        <v>8387</v>
      </c>
      <c r="E3485" t="s">
        <v>23</v>
      </c>
      <c r="F3485" t="s">
        <v>44</v>
      </c>
      <c r="G3485">
        <v>2010</v>
      </c>
      <c r="H3485" t="s">
        <v>2702</v>
      </c>
      <c r="K3485" t="s">
        <v>25</v>
      </c>
      <c r="L3485" t="s">
        <v>30</v>
      </c>
      <c r="M3485" t="b">
        <v>1</v>
      </c>
      <c r="N3485" t="s">
        <v>8388</v>
      </c>
      <c r="Q3485" t="b">
        <v>0</v>
      </c>
      <c r="S3485" t="str">
        <f>"9780310236368"</f>
        <v>9780310236368</v>
      </c>
      <c r="T3485" t="str">
        <f>"9780310872108"</f>
        <v>9780310872108</v>
      </c>
      <c r="U3485" t="b">
        <v>0</v>
      </c>
      <c r="W3485" t="b">
        <v>0</v>
      </c>
    </row>
    <row r="3486" spans="1:23" x14ac:dyDescent="0.3">
      <c r="A3486">
        <v>1948274</v>
      </c>
      <c r="B3486">
        <v>68.97</v>
      </c>
      <c r="C3486" t="s">
        <v>8389</v>
      </c>
      <c r="E3486" t="s">
        <v>49</v>
      </c>
      <c r="F3486" t="s">
        <v>44</v>
      </c>
      <c r="G3486">
        <v>2011</v>
      </c>
      <c r="H3486" t="s">
        <v>50</v>
      </c>
      <c r="I3486" t="s">
        <v>8390</v>
      </c>
      <c r="J3486" t="s">
        <v>8391</v>
      </c>
      <c r="K3486" t="s">
        <v>25</v>
      </c>
      <c r="L3486" t="s">
        <v>26</v>
      </c>
      <c r="M3486" t="b">
        <v>1</v>
      </c>
      <c r="N3486" t="s">
        <v>7356</v>
      </c>
      <c r="O3486" t="str">
        <f>"246/.72"</f>
        <v>246/.72</v>
      </c>
      <c r="P3486" t="s">
        <v>7484</v>
      </c>
      <c r="Q3486" t="b">
        <v>0</v>
      </c>
      <c r="S3486" t="str">
        <f>"9780310220275"</f>
        <v>9780310220275</v>
      </c>
      <c r="T3486" t="str">
        <f>"9780310861751"</f>
        <v>9780310861751</v>
      </c>
      <c r="U3486" t="b">
        <v>0</v>
      </c>
      <c r="W3486" t="b">
        <v>0</v>
      </c>
    </row>
    <row r="3487" spans="1:23" x14ac:dyDescent="0.3">
      <c r="A3487">
        <v>1948273</v>
      </c>
      <c r="B3487">
        <v>68.97</v>
      </c>
      <c r="C3487" t="s">
        <v>8392</v>
      </c>
      <c r="E3487" t="s">
        <v>49</v>
      </c>
      <c r="F3487" t="s">
        <v>44</v>
      </c>
      <c r="G3487">
        <v>1997</v>
      </c>
      <c r="H3487" t="s">
        <v>50</v>
      </c>
      <c r="I3487" t="s">
        <v>7151</v>
      </c>
      <c r="J3487" t="s">
        <v>8393</v>
      </c>
      <c r="K3487" t="s">
        <v>25</v>
      </c>
      <c r="L3487" t="s">
        <v>30</v>
      </c>
      <c r="M3487" t="b">
        <v>1</v>
      </c>
      <c r="N3487" t="s">
        <v>7356</v>
      </c>
      <c r="O3487" t="str">
        <f>"259.23"</f>
        <v>259.23</v>
      </c>
      <c r="P3487" t="s">
        <v>7484</v>
      </c>
      <c r="Q3487" t="b">
        <v>0</v>
      </c>
      <c r="S3487" t="str">
        <f>"9780310220343"</f>
        <v>9780310220343</v>
      </c>
      <c r="T3487" t="str">
        <f>"9780310861713"</f>
        <v>9780310861713</v>
      </c>
      <c r="U3487" t="b">
        <v>0</v>
      </c>
      <c r="W3487" t="b">
        <v>0</v>
      </c>
    </row>
    <row r="3488" spans="1:23" x14ac:dyDescent="0.3">
      <c r="A3488">
        <v>1948272</v>
      </c>
      <c r="B3488">
        <v>17.22</v>
      </c>
      <c r="C3488" t="s">
        <v>3438</v>
      </c>
      <c r="D3488" t="s">
        <v>8394</v>
      </c>
      <c r="E3488" t="s">
        <v>23</v>
      </c>
      <c r="F3488" t="s">
        <v>44</v>
      </c>
      <c r="G3488">
        <v>2013</v>
      </c>
      <c r="H3488" t="s">
        <v>99</v>
      </c>
      <c r="I3488" t="s">
        <v>8395</v>
      </c>
      <c r="J3488" t="s">
        <v>895</v>
      </c>
      <c r="K3488" t="s">
        <v>25</v>
      </c>
      <c r="L3488" t="s">
        <v>30</v>
      </c>
      <c r="M3488" t="b">
        <v>1</v>
      </c>
      <c r="N3488" t="s">
        <v>8396</v>
      </c>
      <c r="O3488" t="str">
        <f>"234.13"</f>
        <v>234.13</v>
      </c>
      <c r="Q3488" t="b">
        <v>0</v>
      </c>
      <c r="S3488" t="str">
        <f>"9780310750611"</f>
        <v>9780310750611</v>
      </c>
      <c r="T3488" t="str">
        <f>"9780310516729"</f>
        <v>9780310516729</v>
      </c>
      <c r="U3488" t="b">
        <v>0</v>
      </c>
      <c r="W3488" t="b">
        <v>0</v>
      </c>
    </row>
    <row r="3489" spans="1:23" x14ac:dyDescent="0.3">
      <c r="A3489">
        <v>1948271</v>
      </c>
      <c r="B3489">
        <v>44.82</v>
      </c>
      <c r="C3489" t="s">
        <v>8397</v>
      </c>
      <c r="D3489" t="s">
        <v>8398</v>
      </c>
      <c r="E3489" t="s">
        <v>49</v>
      </c>
      <c r="F3489" t="s">
        <v>44</v>
      </c>
      <c r="G3489">
        <v>2010</v>
      </c>
      <c r="H3489" t="s">
        <v>2702</v>
      </c>
      <c r="I3489" t="s">
        <v>8399</v>
      </c>
      <c r="J3489" t="s">
        <v>8400</v>
      </c>
      <c r="K3489" t="s">
        <v>25</v>
      </c>
      <c r="L3489" t="s">
        <v>30</v>
      </c>
      <c r="M3489" t="b">
        <v>1</v>
      </c>
      <c r="N3489" t="s">
        <v>8401</v>
      </c>
      <c r="O3489" t="str">
        <f>"259/.082"</f>
        <v>259/.082</v>
      </c>
      <c r="Q3489" t="b">
        <v>0</v>
      </c>
      <c r="S3489" t="str">
        <f>"9780310431916"</f>
        <v>9780310431916</v>
      </c>
      <c r="T3489" t="str">
        <f>"9780310877240"</f>
        <v>9780310877240</v>
      </c>
      <c r="U3489" t="b">
        <v>0</v>
      </c>
      <c r="W3489" t="b">
        <v>0</v>
      </c>
    </row>
    <row r="3490" spans="1:23" x14ac:dyDescent="0.3">
      <c r="A3490">
        <v>1948270</v>
      </c>
      <c r="B3490">
        <v>65.52</v>
      </c>
      <c r="C3490" t="s">
        <v>8402</v>
      </c>
      <c r="D3490" t="s">
        <v>8403</v>
      </c>
      <c r="E3490" t="s">
        <v>49</v>
      </c>
      <c r="F3490" t="s">
        <v>44</v>
      </c>
      <c r="G3490">
        <v>2011</v>
      </c>
      <c r="H3490" t="s">
        <v>804</v>
      </c>
      <c r="K3490" t="s">
        <v>25</v>
      </c>
      <c r="L3490" t="s">
        <v>30</v>
      </c>
      <c r="M3490" t="b">
        <v>1</v>
      </c>
      <c r="N3490" t="s">
        <v>8404</v>
      </c>
      <c r="P3490" t="s">
        <v>4756</v>
      </c>
      <c r="Q3490" t="b">
        <v>0</v>
      </c>
      <c r="S3490" t="str">
        <f>"9780310318323"</f>
        <v>9780310318323</v>
      </c>
      <c r="T3490" t="str">
        <f>"9780310302315"</f>
        <v>9780310302315</v>
      </c>
      <c r="U3490" t="b">
        <v>0</v>
      </c>
      <c r="W3490" t="b">
        <v>0</v>
      </c>
    </row>
    <row r="3491" spans="1:23" x14ac:dyDescent="0.3">
      <c r="A3491">
        <v>1948269</v>
      </c>
      <c r="B3491">
        <v>44.82</v>
      </c>
      <c r="C3491" t="s">
        <v>8405</v>
      </c>
      <c r="E3491" t="s">
        <v>23</v>
      </c>
      <c r="F3491" t="s">
        <v>44</v>
      </c>
      <c r="G3491">
        <v>2011</v>
      </c>
      <c r="H3491" t="s">
        <v>52</v>
      </c>
      <c r="K3491" t="s">
        <v>25</v>
      </c>
      <c r="L3491" t="s">
        <v>30</v>
      </c>
      <c r="M3491" t="b">
        <v>1</v>
      </c>
      <c r="N3491" t="s">
        <v>8406</v>
      </c>
      <c r="Q3491" t="b">
        <v>0</v>
      </c>
      <c r="S3491" t="str">
        <f>"9780310376217"</f>
        <v>9780310376217</v>
      </c>
      <c r="T3491" t="str">
        <f>"9780310877455"</f>
        <v>9780310877455</v>
      </c>
      <c r="U3491" t="b">
        <v>0</v>
      </c>
      <c r="W3491" t="b">
        <v>0</v>
      </c>
    </row>
    <row r="3492" spans="1:23" x14ac:dyDescent="0.3">
      <c r="A3492">
        <v>1948265</v>
      </c>
      <c r="B3492">
        <v>65.52</v>
      </c>
      <c r="C3492" t="s">
        <v>8407</v>
      </c>
      <c r="D3492" t="s">
        <v>8408</v>
      </c>
      <c r="E3492" t="s">
        <v>23</v>
      </c>
      <c r="F3492" t="s">
        <v>44</v>
      </c>
      <c r="G3492">
        <v>2009</v>
      </c>
      <c r="H3492" t="s">
        <v>2702</v>
      </c>
      <c r="K3492" t="s">
        <v>25</v>
      </c>
      <c r="L3492" t="s">
        <v>30</v>
      </c>
      <c r="M3492" t="b">
        <v>1</v>
      </c>
      <c r="N3492" t="s">
        <v>8409</v>
      </c>
      <c r="Q3492" t="b">
        <v>0</v>
      </c>
      <c r="S3492" t="str">
        <f>"9780310291855"</f>
        <v>9780310291855</v>
      </c>
      <c r="T3492" t="str">
        <f>"9780310322559"</f>
        <v>9780310322559</v>
      </c>
      <c r="U3492" t="b">
        <v>0</v>
      </c>
      <c r="W3492" t="b">
        <v>0</v>
      </c>
    </row>
    <row r="3493" spans="1:23" x14ac:dyDescent="0.3">
      <c r="A3493">
        <v>1948261</v>
      </c>
      <c r="B3493">
        <v>86.22</v>
      </c>
      <c r="C3493" t="s">
        <v>8410</v>
      </c>
      <c r="D3493" t="s">
        <v>8411</v>
      </c>
      <c r="E3493" t="s">
        <v>49</v>
      </c>
      <c r="F3493" t="s">
        <v>44</v>
      </c>
      <c r="G3493">
        <v>2011</v>
      </c>
      <c r="H3493" t="s">
        <v>2702</v>
      </c>
      <c r="I3493" t="s">
        <v>8412</v>
      </c>
      <c r="J3493" t="s">
        <v>8413</v>
      </c>
      <c r="K3493" t="s">
        <v>25</v>
      </c>
      <c r="L3493" t="s">
        <v>30</v>
      </c>
      <c r="M3493" t="b">
        <v>1</v>
      </c>
      <c r="N3493" t="s">
        <v>8414</v>
      </c>
      <c r="O3493" t="str">
        <f>"250/.9173/2"</f>
        <v>250/.9173/2</v>
      </c>
      <c r="Q3493" t="b">
        <v>0</v>
      </c>
      <c r="S3493" t="str">
        <f>"9780310531418"</f>
        <v>9780310531418</v>
      </c>
      <c r="T3493" t="str">
        <f>"9780310877356"</f>
        <v>9780310877356</v>
      </c>
      <c r="U3493" t="b">
        <v>0</v>
      </c>
      <c r="W3493" t="b">
        <v>0</v>
      </c>
    </row>
    <row r="3494" spans="1:23" x14ac:dyDescent="0.3">
      <c r="A3494">
        <v>1948260</v>
      </c>
      <c r="B3494">
        <v>42.61</v>
      </c>
      <c r="C3494" t="s">
        <v>8415</v>
      </c>
      <c r="D3494" t="s">
        <v>8416</v>
      </c>
      <c r="E3494" t="s">
        <v>23</v>
      </c>
      <c r="F3494" t="s">
        <v>44</v>
      </c>
      <c r="G3494">
        <v>2009</v>
      </c>
      <c r="H3494" t="s">
        <v>2702</v>
      </c>
      <c r="K3494" t="s">
        <v>25</v>
      </c>
      <c r="L3494" t="s">
        <v>30</v>
      </c>
      <c r="M3494" t="b">
        <v>1</v>
      </c>
      <c r="N3494" t="s">
        <v>8417</v>
      </c>
      <c r="Q3494" t="b">
        <v>0</v>
      </c>
      <c r="S3494" t="str">
        <f>"9780310283911"</f>
        <v>9780310283911</v>
      </c>
      <c r="T3494" t="str">
        <f>"9780310314264"</f>
        <v>9780310314264</v>
      </c>
      <c r="U3494" t="b">
        <v>0</v>
      </c>
      <c r="W3494" t="b">
        <v>0</v>
      </c>
    </row>
    <row r="3495" spans="1:23" x14ac:dyDescent="0.3">
      <c r="A3495">
        <v>1948259</v>
      </c>
      <c r="B3495">
        <v>55.17</v>
      </c>
      <c r="C3495" t="s">
        <v>8418</v>
      </c>
      <c r="D3495" t="s">
        <v>8419</v>
      </c>
      <c r="E3495" t="s">
        <v>23</v>
      </c>
      <c r="F3495" t="s">
        <v>44</v>
      </c>
      <c r="G3495">
        <v>2010</v>
      </c>
      <c r="H3495" t="s">
        <v>5369</v>
      </c>
      <c r="I3495" t="s">
        <v>8420</v>
      </c>
      <c r="J3495" t="s">
        <v>895</v>
      </c>
      <c r="K3495" t="s">
        <v>25</v>
      </c>
      <c r="L3495" t="s">
        <v>30</v>
      </c>
      <c r="M3495" t="b">
        <v>1</v>
      </c>
      <c r="N3495" t="s">
        <v>8421</v>
      </c>
      <c r="O3495" t="str">
        <f>"262/.001/7"</f>
        <v>262/.001/7</v>
      </c>
      <c r="Q3495" t="b">
        <v>0</v>
      </c>
      <c r="S3495" t="str">
        <f>"9780310265719"</f>
        <v>9780310265719</v>
      </c>
      <c r="T3495" t="str">
        <f>"9780310861386"</f>
        <v>9780310861386</v>
      </c>
      <c r="U3495" t="b">
        <v>0</v>
      </c>
      <c r="W3495" t="b">
        <v>0</v>
      </c>
    </row>
    <row r="3496" spans="1:23" x14ac:dyDescent="0.3">
      <c r="A3496">
        <v>1948258</v>
      </c>
      <c r="B3496">
        <v>65.52</v>
      </c>
      <c r="C3496" t="s">
        <v>8422</v>
      </c>
      <c r="D3496" t="s">
        <v>8423</v>
      </c>
      <c r="E3496" t="s">
        <v>49</v>
      </c>
      <c r="F3496" t="s">
        <v>44</v>
      </c>
      <c r="G3496">
        <v>2012</v>
      </c>
      <c r="H3496" t="s">
        <v>2702</v>
      </c>
      <c r="I3496" t="s">
        <v>8424</v>
      </c>
      <c r="J3496" t="s">
        <v>2717</v>
      </c>
      <c r="K3496" t="s">
        <v>25</v>
      </c>
      <c r="L3496" t="s">
        <v>30</v>
      </c>
      <c r="M3496" t="b">
        <v>1</v>
      </c>
      <c r="N3496" t="s">
        <v>8190</v>
      </c>
      <c r="O3496" t="str">
        <f>"253/.7"</f>
        <v>253/.7</v>
      </c>
      <c r="P3496" t="s">
        <v>7316</v>
      </c>
      <c r="Q3496" t="b">
        <v>0</v>
      </c>
      <c r="S3496" t="str">
        <f>"9780310331261"</f>
        <v>9780310331261</v>
      </c>
      <c r="T3496" t="str">
        <f>"9780310423430"</f>
        <v>9780310423430</v>
      </c>
      <c r="U3496" t="b">
        <v>0</v>
      </c>
      <c r="W3496" t="b">
        <v>0</v>
      </c>
    </row>
    <row r="3497" spans="1:23" x14ac:dyDescent="0.3">
      <c r="A3497">
        <v>1948257</v>
      </c>
      <c r="B3497">
        <v>65.52</v>
      </c>
      <c r="C3497" t="s">
        <v>8425</v>
      </c>
      <c r="D3497" t="s">
        <v>8426</v>
      </c>
      <c r="E3497" t="s">
        <v>49</v>
      </c>
      <c r="F3497" t="s">
        <v>44</v>
      </c>
      <c r="G3497">
        <v>2011</v>
      </c>
      <c r="H3497" t="s">
        <v>52</v>
      </c>
      <c r="K3497" t="s">
        <v>25</v>
      </c>
      <c r="L3497" t="s">
        <v>30</v>
      </c>
      <c r="M3497" t="b">
        <v>1</v>
      </c>
      <c r="N3497" t="s">
        <v>8427</v>
      </c>
      <c r="P3497" t="s">
        <v>4756</v>
      </c>
      <c r="Q3497" t="b">
        <v>0</v>
      </c>
      <c r="S3497" t="str">
        <f>"9780310329671"</f>
        <v>9780310329671</v>
      </c>
      <c r="T3497" t="str">
        <f>"9780310587231"</f>
        <v>9780310587231</v>
      </c>
      <c r="U3497" t="b">
        <v>0</v>
      </c>
      <c r="W3497" t="b">
        <v>0</v>
      </c>
    </row>
    <row r="3498" spans="1:23" x14ac:dyDescent="0.3">
      <c r="A3498">
        <v>1948255</v>
      </c>
      <c r="B3498">
        <v>51.72</v>
      </c>
      <c r="C3498" t="s">
        <v>8428</v>
      </c>
      <c r="D3498" t="s">
        <v>8429</v>
      </c>
      <c r="E3498" t="s">
        <v>49</v>
      </c>
      <c r="F3498" t="s">
        <v>44</v>
      </c>
      <c r="G3498">
        <v>2007</v>
      </c>
      <c r="H3498" t="s">
        <v>756</v>
      </c>
      <c r="I3498" t="s">
        <v>5194</v>
      </c>
      <c r="J3498" t="s">
        <v>6788</v>
      </c>
      <c r="K3498" t="s">
        <v>25</v>
      </c>
      <c r="L3498" t="s">
        <v>30</v>
      </c>
      <c r="M3498" t="b">
        <v>1</v>
      </c>
      <c r="N3498" t="s">
        <v>1134</v>
      </c>
      <c r="O3498" t="str">
        <f>"269/.2"</f>
        <v>269/.2</v>
      </c>
      <c r="Q3498" t="b">
        <v>0</v>
      </c>
      <c r="S3498" t="str">
        <f>"9780310279198"</f>
        <v>9780310279198</v>
      </c>
      <c r="T3498" t="str">
        <f>"9780310852988"</f>
        <v>9780310852988</v>
      </c>
      <c r="U3498" t="b">
        <v>0</v>
      </c>
      <c r="V3498" t="s">
        <v>7036</v>
      </c>
      <c r="W3498" t="b">
        <v>0</v>
      </c>
    </row>
    <row r="3499" spans="1:23" x14ac:dyDescent="0.3">
      <c r="A3499">
        <v>1948254</v>
      </c>
      <c r="B3499">
        <v>65.52</v>
      </c>
      <c r="C3499" t="s">
        <v>8430</v>
      </c>
      <c r="D3499" t="s">
        <v>8431</v>
      </c>
      <c r="E3499" t="s">
        <v>49</v>
      </c>
      <c r="F3499" t="s">
        <v>44</v>
      </c>
      <c r="G3499">
        <v>2011</v>
      </c>
      <c r="H3499" t="s">
        <v>751</v>
      </c>
      <c r="K3499" t="s">
        <v>25</v>
      </c>
      <c r="L3499" t="s">
        <v>30</v>
      </c>
      <c r="M3499" t="b">
        <v>1</v>
      </c>
      <c r="N3499" t="s">
        <v>6405</v>
      </c>
      <c r="P3499" t="s">
        <v>5851</v>
      </c>
      <c r="Q3499" t="b">
        <v>0</v>
      </c>
      <c r="S3499" t="str">
        <f>"9780310492269"</f>
        <v>9780310492269</v>
      </c>
      <c r="T3499" t="str">
        <f>"9780310492276"</f>
        <v>9780310492276</v>
      </c>
      <c r="U3499" t="b">
        <v>0</v>
      </c>
      <c r="W3499" t="b">
        <v>0</v>
      </c>
    </row>
    <row r="3500" spans="1:23" x14ac:dyDescent="0.3">
      <c r="A3500">
        <v>1948253</v>
      </c>
      <c r="B3500">
        <v>65.52</v>
      </c>
      <c r="C3500" t="s">
        <v>8432</v>
      </c>
      <c r="D3500" t="s">
        <v>8433</v>
      </c>
      <c r="E3500" t="s">
        <v>49</v>
      </c>
      <c r="F3500" t="s">
        <v>44</v>
      </c>
      <c r="G3500">
        <v>2010</v>
      </c>
      <c r="H3500" t="s">
        <v>751</v>
      </c>
      <c r="I3500" t="s">
        <v>8434</v>
      </c>
      <c r="J3500" t="s">
        <v>8435</v>
      </c>
      <c r="K3500" t="s">
        <v>25</v>
      </c>
      <c r="L3500" t="s">
        <v>30</v>
      </c>
      <c r="M3500" t="b">
        <v>1</v>
      </c>
      <c r="N3500" t="s">
        <v>8436</v>
      </c>
      <c r="O3500" t="str">
        <f>"254/.5"</f>
        <v>254/.5</v>
      </c>
      <c r="P3500" t="s">
        <v>5851</v>
      </c>
      <c r="Q3500" t="b">
        <v>0</v>
      </c>
      <c r="S3500" t="str">
        <f>"9780310325857"</f>
        <v>9780310325857</v>
      </c>
      <c r="T3500" t="str">
        <f>"9780310576242"</f>
        <v>9780310576242</v>
      </c>
      <c r="U3500" t="b">
        <v>0</v>
      </c>
      <c r="W3500" t="b">
        <v>0</v>
      </c>
    </row>
    <row r="3501" spans="1:23" x14ac:dyDescent="0.3">
      <c r="A3501">
        <v>1948252</v>
      </c>
      <c r="B3501">
        <v>58.62</v>
      </c>
      <c r="C3501" t="s">
        <v>8437</v>
      </c>
      <c r="D3501" t="s">
        <v>8438</v>
      </c>
      <c r="E3501" t="s">
        <v>23</v>
      </c>
      <c r="F3501" t="s">
        <v>44</v>
      </c>
      <c r="G3501">
        <v>2012</v>
      </c>
      <c r="H3501" t="s">
        <v>5369</v>
      </c>
      <c r="K3501" t="s">
        <v>25</v>
      </c>
      <c r="L3501" t="s">
        <v>30</v>
      </c>
      <c r="M3501" t="b">
        <v>1</v>
      </c>
      <c r="N3501" t="s">
        <v>910</v>
      </c>
      <c r="Q3501" t="b">
        <v>0</v>
      </c>
      <c r="S3501" t="str">
        <f>"9780310275565"</f>
        <v>9780310275565</v>
      </c>
      <c r="T3501" t="str">
        <f>"9780310313786"</f>
        <v>9780310313786</v>
      </c>
      <c r="U3501" t="b">
        <v>0</v>
      </c>
      <c r="W3501" t="b">
        <v>0</v>
      </c>
    </row>
    <row r="3502" spans="1:23" x14ac:dyDescent="0.3">
      <c r="A3502">
        <v>1948251</v>
      </c>
      <c r="B3502">
        <v>44.82</v>
      </c>
      <c r="C3502" t="s">
        <v>8439</v>
      </c>
      <c r="D3502" t="s">
        <v>8440</v>
      </c>
      <c r="E3502" t="s">
        <v>49</v>
      </c>
      <c r="F3502" t="s">
        <v>44</v>
      </c>
      <c r="G3502">
        <v>2010</v>
      </c>
      <c r="H3502" t="s">
        <v>3527</v>
      </c>
      <c r="K3502" t="s">
        <v>25</v>
      </c>
      <c r="L3502" t="s">
        <v>26</v>
      </c>
      <c r="M3502" t="b">
        <v>1</v>
      </c>
      <c r="N3502" t="s">
        <v>8441</v>
      </c>
      <c r="Q3502" t="b">
        <v>0</v>
      </c>
      <c r="S3502" t="str">
        <f>"9780310201540"</f>
        <v>9780310201540</v>
      </c>
      <c r="T3502" t="str">
        <f>"9780310877349"</f>
        <v>9780310877349</v>
      </c>
      <c r="U3502" t="b">
        <v>0</v>
      </c>
      <c r="W3502" t="b">
        <v>0</v>
      </c>
    </row>
    <row r="3503" spans="1:23" x14ac:dyDescent="0.3">
      <c r="A3503">
        <v>1884510</v>
      </c>
      <c r="B3503">
        <v>78.14</v>
      </c>
      <c r="C3503" t="s">
        <v>8442</v>
      </c>
      <c r="E3503" t="s">
        <v>49</v>
      </c>
      <c r="F3503" t="s">
        <v>106</v>
      </c>
      <c r="G3503">
        <v>2010</v>
      </c>
      <c r="H3503" t="s">
        <v>817</v>
      </c>
      <c r="I3503" t="s">
        <v>8443</v>
      </c>
      <c r="K3503" t="s">
        <v>25</v>
      </c>
      <c r="L3503" t="s">
        <v>30</v>
      </c>
      <c r="M3503" t="b">
        <v>1</v>
      </c>
      <c r="N3503" t="s">
        <v>8444</v>
      </c>
      <c r="O3503" t="str">
        <f>"224/.207"</f>
        <v>224/.207</v>
      </c>
      <c r="P3503" t="s">
        <v>8445</v>
      </c>
      <c r="Q3503" t="b">
        <v>0</v>
      </c>
      <c r="T3503" t="str">
        <f>"9780310531876"</f>
        <v>9780310531876</v>
      </c>
      <c r="U3503" t="b">
        <v>0</v>
      </c>
      <c r="W3503" t="b">
        <v>0</v>
      </c>
    </row>
    <row r="3504" spans="1:23" x14ac:dyDescent="0.3">
      <c r="A3504">
        <v>1884509</v>
      </c>
      <c r="B3504">
        <v>60.37</v>
      </c>
      <c r="C3504" t="s">
        <v>3435</v>
      </c>
      <c r="E3504" t="s">
        <v>49</v>
      </c>
      <c r="F3504" t="s">
        <v>106</v>
      </c>
      <c r="G3504">
        <v>2017</v>
      </c>
      <c r="H3504" t="s">
        <v>5766</v>
      </c>
      <c r="I3504" t="s">
        <v>8446</v>
      </c>
      <c r="K3504" t="s">
        <v>25</v>
      </c>
      <c r="L3504" t="s">
        <v>30</v>
      </c>
      <c r="M3504" t="b">
        <v>1</v>
      </c>
      <c r="N3504" t="s">
        <v>6325</v>
      </c>
      <c r="O3504" t="str">
        <f>"220.7"</f>
        <v>220.7</v>
      </c>
      <c r="P3504" t="s">
        <v>6271</v>
      </c>
      <c r="Q3504" t="b">
        <v>0</v>
      </c>
      <c r="S3504" t="str">
        <f>"9780310268925"</f>
        <v>9780310268925</v>
      </c>
      <c r="T3504" t="str">
        <f>"9780310531999"</f>
        <v>9780310531999</v>
      </c>
      <c r="U3504" t="b">
        <v>0</v>
      </c>
      <c r="V3504" t="s">
        <v>940</v>
      </c>
      <c r="W3504" t="b">
        <v>0</v>
      </c>
    </row>
    <row r="3505" spans="1:23" x14ac:dyDescent="0.3">
      <c r="A3505">
        <v>1884507</v>
      </c>
      <c r="B3505">
        <v>56.82</v>
      </c>
      <c r="C3505" t="s">
        <v>3416</v>
      </c>
      <c r="E3505" t="s">
        <v>49</v>
      </c>
      <c r="F3505" t="s">
        <v>106</v>
      </c>
      <c r="G3505">
        <v>2010</v>
      </c>
      <c r="H3505" t="s">
        <v>3417</v>
      </c>
      <c r="I3505" t="s">
        <v>8447</v>
      </c>
      <c r="K3505" t="s">
        <v>25</v>
      </c>
      <c r="L3505" t="s">
        <v>30</v>
      </c>
      <c r="M3505" t="b">
        <v>1</v>
      </c>
      <c r="N3505" t="s">
        <v>8448</v>
      </c>
      <c r="O3505" t="str">
        <f>"223/.107"</f>
        <v>223/.107</v>
      </c>
      <c r="P3505" t="s">
        <v>8445</v>
      </c>
      <c r="Q3505" t="b">
        <v>0</v>
      </c>
      <c r="T3505" t="str">
        <f>"9780310531838"</f>
        <v>9780310531838</v>
      </c>
      <c r="U3505" t="b">
        <v>0</v>
      </c>
      <c r="W3505" t="b">
        <v>0</v>
      </c>
    </row>
    <row r="3506" spans="1:23" x14ac:dyDescent="0.3">
      <c r="A3506">
        <v>1884506</v>
      </c>
      <c r="B3506">
        <v>60.37</v>
      </c>
      <c r="C3506" t="s">
        <v>8449</v>
      </c>
      <c r="E3506" t="s">
        <v>49</v>
      </c>
      <c r="F3506" t="s">
        <v>106</v>
      </c>
      <c r="G3506">
        <v>2010</v>
      </c>
      <c r="H3506" t="s">
        <v>5768</v>
      </c>
      <c r="I3506" t="s">
        <v>8450</v>
      </c>
      <c r="K3506" t="s">
        <v>25</v>
      </c>
      <c r="L3506" t="s">
        <v>30</v>
      </c>
      <c r="M3506" t="b">
        <v>1</v>
      </c>
      <c r="N3506" t="s">
        <v>8451</v>
      </c>
      <c r="O3506" t="str">
        <f>"222/.707"</f>
        <v>222/.707</v>
      </c>
      <c r="P3506" t="s">
        <v>8445</v>
      </c>
      <c r="Q3506" t="b">
        <v>0</v>
      </c>
      <c r="T3506" t="str">
        <f>"9780310531821"</f>
        <v>9780310531821</v>
      </c>
      <c r="U3506" t="b">
        <v>0</v>
      </c>
      <c r="W3506" t="b">
        <v>0</v>
      </c>
    </row>
    <row r="3507" spans="1:23" x14ac:dyDescent="0.3">
      <c r="A3507">
        <v>1884505</v>
      </c>
      <c r="B3507">
        <v>60.37</v>
      </c>
      <c r="C3507" t="s">
        <v>6308</v>
      </c>
      <c r="E3507" t="s">
        <v>49</v>
      </c>
      <c r="F3507" t="s">
        <v>106</v>
      </c>
      <c r="G3507">
        <v>2009</v>
      </c>
      <c r="H3507" t="s">
        <v>5768</v>
      </c>
      <c r="I3507" t="s">
        <v>928</v>
      </c>
      <c r="K3507" t="s">
        <v>25</v>
      </c>
      <c r="L3507" t="s">
        <v>30</v>
      </c>
      <c r="M3507" t="b">
        <v>1</v>
      </c>
      <c r="N3507" t="s">
        <v>8452</v>
      </c>
      <c r="O3507" t="str">
        <f>"222/.507"</f>
        <v>222/.507</v>
      </c>
      <c r="P3507" t="s">
        <v>8445</v>
      </c>
      <c r="Q3507" t="b">
        <v>0</v>
      </c>
      <c r="T3507" t="str">
        <f>"9780310531807"</f>
        <v>9780310531807</v>
      </c>
      <c r="U3507" t="b">
        <v>0</v>
      </c>
      <c r="W3507" t="b">
        <v>0</v>
      </c>
    </row>
    <row r="3508" spans="1:23" x14ac:dyDescent="0.3">
      <c r="A3508">
        <v>1884504</v>
      </c>
      <c r="B3508">
        <v>60.37</v>
      </c>
      <c r="C3508" t="s">
        <v>6326</v>
      </c>
      <c r="E3508" t="s">
        <v>49</v>
      </c>
      <c r="F3508" t="s">
        <v>106</v>
      </c>
      <c r="G3508">
        <v>2012</v>
      </c>
      <c r="H3508" t="s">
        <v>5768</v>
      </c>
      <c r="I3508" t="s">
        <v>8453</v>
      </c>
      <c r="K3508" t="s">
        <v>25</v>
      </c>
      <c r="L3508" t="s">
        <v>30</v>
      </c>
      <c r="M3508" t="b">
        <v>1</v>
      </c>
      <c r="N3508" t="s">
        <v>8454</v>
      </c>
      <c r="O3508" t="str">
        <f>"222/.3207"</f>
        <v>222/.3207</v>
      </c>
      <c r="P3508" t="s">
        <v>8445</v>
      </c>
      <c r="Q3508" t="b">
        <v>0</v>
      </c>
      <c r="T3508" t="str">
        <f>"9780310531784"</f>
        <v>9780310531784</v>
      </c>
      <c r="U3508" t="b">
        <v>0</v>
      </c>
      <c r="W3508" t="b">
        <v>0</v>
      </c>
    </row>
    <row r="3509" spans="1:23" x14ac:dyDescent="0.3">
      <c r="A3509">
        <v>1884503</v>
      </c>
      <c r="B3509">
        <v>56.82</v>
      </c>
      <c r="C3509" t="s">
        <v>6305</v>
      </c>
      <c r="E3509" t="s">
        <v>49</v>
      </c>
      <c r="F3509" t="s">
        <v>106</v>
      </c>
      <c r="G3509">
        <v>2012</v>
      </c>
      <c r="H3509" t="s">
        <v>5768</v>
      </c>
      <c r="I3509" t="s">
        <v>8455</v>
      </c>
      <c r="K3509" t="s">
        <v>25</v>
      </c>
      <c r="L3509" t="s">
        <v>30</v>
      </c>
      <c r="M3509" t="b">
        <v>1</v>
      </c>
      <c r="N3509" t="s">
        <v>8456</v>
      </c>
      <c r="O3509" t="str">
        <f>"222.207"</f>
        <v>222.207</v>
      </c>
      <c r="P3509" t="s">
        <v>8445</v>
      </c>
      <c r="Q3509" t="b">
        <v>0</v>
      </c>
      <c r="T3509" t="str">
        <f>"9780310531777"</f>
        <v>9780310531777</v>
      </c>
      <c r="U3509" t="b">
        <v>0</v>
      </c>
      <c r="W3509" t="b">
        <v>0</v>
      </c>
    </row>
    <row r="3510" spans="1:23" x14ac:dyDescent="0.3">
      <c r="A3510">
        <v>1884502</v>
      </c>
      <c r="B3510">
        <v>60.37</v>
      </c>
      <c r="C3510" t="s">
        <v>8457</v>
      </c>
      <c r="E3510" t="s">
        <v>49</v>
      </c>
      <c r="F3510" t="s">
        <v>106</v>
      </c>
      <c r="G3510">
        <v>2012</v>
      </c>
      <c r="H3510" t="s">
        <v>6356</v>
      </c>
      <c r="I3510" t="s">
        <v>8458</v>
      </c>
      <c r="K3510" t="s">
        <v>25</v>
      </c>
      <c r="L3510" t="s">
        <v>30</v>
      </c>
      <c r="M3510" t="b">
        <v>1</v>
      </c>
      <c r="N3510" t="s">
        <v>8459</v>
      </c>
      <c r="O3510" t="str">
        <f>"222.1507"</f>
        <v>222.1507</v>
      </c>
      <c r="P3510" t="s">
        <v>6271</v>
      </c>
      <c r="Q3510" t="b">
        <v>0</v>
      </c>
      <c r="T3510" t="str">
        <f>"9780310531760"</f>
        <v>9780310531760</v>
      </c>
      <c r="U3510" t="b">
        <v>0</v>
      </c>
      <c r="W3510" t="b">
        <v>0</v>
      </c>
    </row>
    <row r="3511" spans="1:23" x14ac:dyDescent="0.3">
      <c r="A3511">
        <v>1884500</v>
      </c>
      <c r="B3511">
        <v>53.27</v>
      </c>
      <c r="C3511" t="s">
        <v>8460</v>
      </c>
      <c r="E3511" t="s">
        <v>49</v>
      </c>
      <c r="F3511" t="s">
        <v>106</v>
      </c>
      <c r="G3511">
        <v>2016</v>
      </c>
      <c r="H3511" t="s">
        <v>6539</v>
      </c>
      <c r="I3511" t="s">
        <v>8461</v>
      </c>
      <c r="K3511" t="s">
        <v>25</v>
      </c>
      <c r="L3511" t="s">
        <v>30</v>
      </c>
      <c r="M3511" t="b">
        <v>1</v>
      </c>
      <c r="N3511" t="s">
        <v>8462</v>
      </c>
      <c r="O3511" t="str">
        <f>"221.7"</f>
        <v>221.7</v>
      </c>
      <c r="P3511" t="s">
        <v>6606</v>
      </c>
      <c r="Q3511" t="b">
        <v>0</v>
      </c>
      <c r="S3511" t="str">
        <f>"9780310255758"</f>
        <v>9780310255758</v>
      </c>
      <c r="T3511" t="str">
        <f>"9780310527633"</f>
        <v>9780310527633</v>
      </c>
      <c r="U3511" t="b">
        <v>0</v>
      </c>
      <c r="W3511" t="b">
        <v>0</v>
      </c>
    </row>
    <row r="3512" spans="1:23" x14ac:dyDescent="0.3">
      <c r="A3512">
        <v>1884499</v>
      </c>
      <c r="B3512">
        <v>189.72</v>
      </c>
      <c r="C3512" t="s">
        <v>8463</v>
      </c>
      <c r="D3512" t="s">
        <v>3445</v>
      </c>
      <c r="E3512" t="s">
        <v>49</v>
      </c>
      <c r="F3512" t="s">
        <v>106</v>
      </c>
      <c r="G3512">
        <v>2017</v>
      </c>
      <c r="H3512" t="s">
        <v>1181</v>
      </c>
      <c r="I3512" t="s">
        <v>6306</v>
      </c>
      <c r="K3512" t="s">
        <v>25</v>
      </c>
      <c r="L3512" t="s">
        <v>30</v>
      </c>
      <c r="M3512" t="b">
        <v>1</v>
      </c>
      <c r="N3512" t="s">
        <v>6307</v>
      </c>
      <c r="O3512" t="str">
        <f>"222.207"</f>
        <v>222.207</v>
      </c>
      <c r="P3512" t="s">
        <v>6546</v>
      </c>
      <c r="Q3512" t="b">
        <v>0</v>
      </c>
      <c r="S3512" t="str">
        <f>"9780785252689"</f>
        <v>9780785252689</v>
      </c>
      <c r="T3512" t="str">
        <f>"9780310585961"</f>
        <v>9780310585961</v>
      </c>
      <c r="U3512" t="b">
        <v>0</v>
      </c>
      <c r="V3512" t="s">
        <v>870</v>
      </c>
      <c r="W3512" t="b">
        <v>0</v>
      </c>
    </row>
    <row r="3513" spans="1:23" x14ac:dyDescent="0.3">
      <c r="A3513">
        <v>1858956</v>
      </c>
      <c r="B3513">
        <v>53.27</v>
      </c>
      <c r="C3513" t="s">
        <v>6313</v>
      </c>
      <c r="E3513" t="s">
        <v>49</v>
      </c>
      <c r="F3513" t="s">
        <v>106</v>
      </c>
      <c r="G3513">
        <v>2016</v>
      </c>
      <c r="H3513" t="s">
        <v>1181</v>
      </c>
      <c r="I3513" t="s">
        <v>8464</v>
      </c>
      <c r="K3513" t="s">
        <v>25</v>
      </c>
      <c r="L3513" t="s">
        <v>30</v>
      </c>
      <c r="M3513" t="b">
        <v>1</v>
      </c>
      <c r="N3513" t="s">
        <v>8465</v>
      </c>
      <c r="O3513" t="str">
        <f>"222/.607"</f>
        <v>222/.607</v>
      </c>
      <c r="P3513" t="s">
        <v>6606</v>
      </c>
      <c r="Q3513" t="b">
        <v>0</v>
      </c>
      <c r="T3513" t="str">
        <f>"9780310527626"</f>
        <v>9780310527626</v>
      </c>
      <c r="U3513" t="b">
        <v>0</v>
      </c>
      <c r="W3513" t="b">
        <v>0</v>
      </c>
    </row>
    <row r="3514" spans="1:23" x14ac:dyDescent="0.3">
      <c r="A3514">
        <v>1854698</v>
      </c>
      <c r="B3514">
        <v>63.93</v>
      </c>
      <c r="C3514" t="s">
        <v>3437</v>
      </c>
      <c r="E3514" t="s">
        <v>49</v>
      </c>
      <c r="F3514" t="s">
        <v>106</v>
      </c>
      <c r="G3514">
        <v>2009</v>
      </c>
      <c r="H3514" t="s">
        <v>927</v>
      </c>
      <c r="I3514" t="s">
        <v>8466</v>
      </c>
      <c r="K3514" t="s">
        <v>25</v>
      </c>
      <c r="L3514" t="s">
        <v>30</v>
      </c>
      <c r="M3514" t="b">
        <v>1</v>
      </c>
      <c r="N3514" t="s">
        <v>8467</v>
      </c>
      <c r="O3514" t="str">
        <f>"222/.07"</f>
        <v>222/.07</v>
      </c>
      <c r="P3514" t="s">
        <v>6606</v>
      </c>
      <c r="Q3514" t="b">
        <v>0</v>
      </c>
      <c r="T3514" t="str">
        <f>"9780310527602"</f>
        <v>9780310527602</v>
      </c>
      <c r="U3514" t="b">
        <v>0</v>
      </c>
      <c r="W3514" t="b">
        <v>0</v>
      </c>
    </row>
    <row r="3515" spans="1:23" x14ac:dyDescent="0.3">
      <c r="A3515">
        <v>1852779</v>
      </c>
      <c r="B3515">
        <v>68.97</v>
      </c>
      <c r="C3515" t="s">
        <v>3433</v>
      </c>
      <c r="E3515" t="s">
        <v>49</v>
      </c>
      <c r="F3515" t="s">
        <v>106</v>
      </c>
      <c r="G3515">
        <v>2016</v>
      </c>
      <c r="H3515" t="s">
        <v>927</v>
      </c>
      <c r="I3515" t="s">
        <v>8468</v>
      </c>
      <c r="J3515" t="s">
        <v>895</v>
      </c>
      <c r="K3515" t="s">
        <v>25</v>
      </c>
      <c r="L3515" t="s">
        <v>30</v>
      </c>
      <c r="M3515" t="b">
        <v>1</v>
      </c>
      <c r="N3515" t="s">
        <v>44</v>
      </c>
      <c r="O3515" t="str">
        <f>"224.107"</f>
        <v>224.107</v>
      </c>
      <c r="P3515" t="s">
        <v>6606</v>
      </c>
      <c r="Q3515" t="b">
        <v>0</v>
      </c>
      <c r="S3515" t="str">
        <f>"9780310492092"</f>
        <v>9780310492092</v>
      </c>
      <c r="T3515" t="str">
        <f>"9780310527671"</f>
        <v>9780310527671</v>
      </c>
      <c r="U3515" t="b">
        <v>0</v>
      </c>
      <c r="W3515" t="b">
        <v>0</v>
      </c>
    </row>
    <row r="3516" spans="1:23" x14ac:dyDescent="0.3">
      <c r="A3516">
        <v>1849243</v>
      </c>
      <c r="B3516">
        <v>44.82</v>
      </c>
      <c r="C3516" t="s">
        <v>8469</v>
      </c>
      <c r="E3516" t="s">
        <v>49</v>
      </c>
      <c r="F3516" t="s">
        <v>106</v>
      </c>
      <c r="G3516">
        <v>2016</v>
      </c>
      <c r="H3516" t="s">
        <v>6799</v>
      </c>
      <c r="I3516" t="s">
        <v>8470</v>
      </c>
      <c r="J3516" t="s">
        <v>895</v>
      </c>
      <c r="K3516" t="s">
        <v>25</v>
      </c>
      <c r="L3516" t="s">
        <v>30</v>
      </c>
      <c r="M3516" t="b">
        <v>1</v>
      </c>
      <c r="N3516" t="s">
        <v>8471</v>
      </c>
      <c r="O3516" t="str">
        <f>"227.8107"</f>
        <v>227.8107</v>
      </c>
      <c r="P3516" t="s">
        <v>6606</v>
      </c>
      <c r="Q3516" t="b">
        <v>0</v>
      </c>
      <c r="S3516" t="str">
        <f>"9780310523062"</f>
        <v>9780310523062</v>
      </c>
      <c r="T3516" t="str">
        <f>"9780310530237"</f>
        <v>9780310530237</v>
      </c>
      <c r="U3516" t="b">
        <v>0</v>
      </c>
      <c r="W3516" t="b">
        <v>0</v>
      </c>
    </row>
    <row r="3517" spans="1:23" x14ac:dyDescent="0.3">
      <c r="A3517">
        <v>1844578</v>
      </c>
      <c r="B3517">
        <v>53.27</v>
      </c>
      <c r="C3517" t="s">
        <v>8472</v>
      </c>
      <c r="E3517" t="s">
        <v>49</v>
      </c>
      <c r="F3517" t="s">
        <v>106</v>
      </c>
      <c r="G3517">
        <v>2016</v>
      </c>
      <c r="H3517" t="s">
        <v>927</v>
      </c>
      <c r="I3517" t="s">
        <v>8473</v>
      </c>
      <c r="J3517" t="s">
        <v>895</v>
      </c>
      <c r="K3517" t="s">
        <v>25</v>
      </c>
      <c r="L3517" t="s">
        <v>30</v>
      </c>
      <c r="M3517" t="b">
        <v>1</v>
      </c>
      <c r="N3517" t="s">
        <v>8474</v>
      </c>
      <c r="O3517" t="str">
        <f>"224/.4066"</f>
        <v>224/.4066</v>
      </c>
      <c r="P3517" t="s">
        <v>6606</v>
      </c>
      <c r="Q3517" t="b">
        <v>0</v>
      </c>
      <c r="S3517" t="str">
        <f>"9780310255765"</f>
        <v>9780310255765</v>
      </c>
      <c r="T3517" t="str">
        <f>"9780310527695"</f>
        <v>9780310527695</v>
      </c>
      <c r="U3517" t="b">
        <v>0</v>
      </c>
      <c r="W3517" t="b">
        <v>0</v>
      </c>
    </row>
    <row r="3518" spans="1:23" x14ac:dyDescent="0.3">
      <c r="A3518">
        <v>1837962</v>
      </c>
      <c r="B3518">
        <v>53.27</v>
      </c>
      <c r="C3518" t="s">
        <v>3431</v>
      </c>
      <c r="E3518" t="s">
        <v>49</v>
      </c>
      <c r="F3518" t="s">
        <v>106</v>
      </c>
      <c r="G3518">
        <v>2016</v>
      </c>
      <c r="H3518" t="s">
        <v>927</v>
      </c>
      <c r="I3518" t="s">
        <v>8475</v>
      </c>
      <c r="K3518" t="s">
        <v>25</v>
      </c>
      <c r="L3518" t="s">
        <v>30</v>
      </c>
      <c r="M3518" t="b">
        <v>1</v>
      </c>
      <c r="N3518" t="s">
        <v>6560</v>
      </c>
      <c r="O3518" t="str">
        <f>"222/.11077"</f>
        <v>222/.11077</v>
      </c>
      <c r="P3518" t="s">
        <v>6606</v>
      </c>
      <c r="Q3518" t="b">
        <v>0</v>
      </c>
      <c r="S3518" t="str">
        <f>"9780310492085"</f>
        <v>9780310492085</v>
      </c>
      <c r="T3518" t="str">
        <f>"9780310527558"</f>
        <v>9780310527558</v>
      </c>
      <c r="U3518" t="b">
        <v>0</v>
      </c>
      <c r="W3518" t="b">
        <v>0</v>
      </c>
    </row>
    <row r="3519" spans="1:23" x14ac:dyDescent="0.3">
      <c r="A3519">
        <v>1834799</v>
      </c>
      <c r="B3519">
        <v>113.68</v>
      </c>
      <c r="C3519" t="s">
        <v>8476</v>
      </c>
      <c r="D3519" t="s">
        <v>8477</v>
      </c>
      <c r="E3519" t="s">
        <v>49</v>
      </c>
      <c r="F3519" t="s">
        <v>106</v>
      </c>
      <c r="G3519">
        <v>2011</v>
      </c>
      <c r="H3519" t="s">
        <v>6285</v>
      </c>
      <c r="I3519" t="s">
        <v>8478</v>
      </c>
      <c r="K3519" t="s">
        <v>25</v>
      </c>
      <c r="L3519" t="s">
        <v>30</v>
      </c>
      <c r="M3519" t="b">
        <v>1</v>
      </c>
      <c r="N3519" t="s">
        <v>44</v>
      </c>
      <c r="O3519" t="str">
        <f>"228/.07"</f>
        <v>228/.07</v>
      </c>
      <c r="P3519" t="s">
        <v>6606</v>
      </c>
      <c r="Q3519" t="b">
        <v>0</v>
      </c>
      <c r="T3519" t="str">
        <f>"9780310872573"</f>
        <v>9780310872573</v>
      </c>
      <c r="U3519" t="b">
        <v>0</v>
      </c>
      <c r="W3519" t="b">
        <v>0</v>
      </c>
    </row>
    <row r="3520" spans="1:23" x14ac:dyDescent="0.3">
      <c r="A3520">
        <v>1834798</v>
      </c>
      <c r="B3520">
        <v>162.12</v>
      </c>
      <c r="C3520" t="s">
        <v>8479</v>
      </c>
      <c r="E3520" t="s">
        <v>49</v>
      </c>
      <c r="F3520" t="s">
        <v>106</v>
      </c>
      <c r="G3520">
        <v>2011</v>
      </c>
      <c r="H3520" t="s">
        <v>6370</v>
      </c>
      <c r="I3520" t="s">
        <v>8480</v>
      </c>
      <c r="K3520" t="s">
        <v>25</v>
      </c>
      <c r="L3520" t="s">
        <v>30</v>
      </c>
      <c r="M3520" t="b">
        <v>1</v>
      </c>
      <c r="N3520" t="s">
        <v>8481</v>
      </c>
      <c r="O3520" t="str">
        <f>"220.7"</f>
        <v>220.7</v>
      </c>
      <c r="P3520" t="s">
        <v>8482</v>
      </c>
      <c r="Q3520" t="b">
        <v>0</v>
      </c>
      <c r="S3520" t="str">
        <f>"9780310268949"</f>
        <v>9780310268949</v>
      </c>
      <c r="T3520" t="str">
        <f>"9780310866244"</f>
        <v>9780310866244</v>
      </c>
      <c r="U3520" t="b">
        <v>0</v>
      </c>
      <c r="W3520" t="b">
        <v>0</v>
      </c>
    </row>
    <row r="3521" spans="1:23" x14ac:dyDescent="0.3">
      <c r="A3521">
        <v>1834786</v>
      </c>
      <c r="B3521">
        <v>162.12</v>
      </c>
      <c r="C3521" t="s">
        <v>8483</v>
      </c>
      <c r="E3521" t="s">
        <v>49</v>
      </c>
      <c r="F3521" t="s">
        <v>106</v>
      </c>
      <c r="G3521">
        <v>2017</v>
      </c>
      <c r="H3521" t="s">
        <v>3417</v>
      </c>
      <c r="I3521" t="s">
        <v>8484</v>
      </c>
      <c r="K3521" t="s">
        <v>25</v>
      </c>
      <c r="L3521" t="s">
        <v>30</v>
      </c>
      <c r="M3521" t="b">
        <v>1</v>
      </c>
      <c r="N3521" t="s">
        <v>44</v>
      </c>
      <c r="O3521" t="str">
        <f>"220.7"</f>
        <v>220.7</v>
      </c>
      <c r="P3521" t="s">
        <v>6271</v>
      </c>
      <c r="Q3521" t="b">
        <v>0</v>
      </c>
      <c r="S3521" t="str">
        <f>"9780310234982"</f>
        <v>9780310234982</v>
      </c>
      <c r="T3521" t="str">
        <f>"9780310590583"</f>
        <v>9780310590583</v>
      </c>
      <c r="U3521" t="b">
        <v>0</v>
      </c>
      <c r="V3521" t="s">
        <v>940</v>
      </c>
      <c r="W3521" t="b">
        <v>0</v>
      </c>
    </row>
    <row r="3522" spans="1:23" x14ac:dyDescent="0.3">
      <c r="A3522">
        <v>1834785</v>
      </c>
      <c r="B3522">
        <v>206.97</v>
      </c>
      <c r="C3522" t="s">
        <v>8485</v>
      </c>
      <c r="D3522" t="s">
        <v>8486</v>
      </c>
      <c r="E3522" t="s">
        <v>49</v>
      </c>
      <c r="F3522" t="s">
        <v>106</v>
      </c>
      <c r="G3522">
        <v>2011</v>
      </c>
      <c r="H3522" t="s">
        <v>5766</v>
      </c>
      <c r="I3522" t="s">
        <v>8487</v>
      </c>
      <c r="K3522" t="s">
        <v>25</v>
      </c>
      <c r="L3522" t="s">
        <v>30</v>
      </c>
      <c r="M3522" t="b">
        <v>1</v>
      </c>
      <c r="N3522" t="s">
        <v>44</v>
      </c>
      <c r="O3522" t="str">
        <f>"226.207"</f>
        <v>226.207</v>
      </c>
      <c r="P3522" t="s">
        <v>6606</v>
      </c>
      <c r="Q3522" t="b">
        <v>0</v>
      </c>
      <c r="S3522" t="str">
        <f>"9780310218067"</f>
        <v>9780310218067</v>
      </c>
      <c r="T3522" t="str">
        <f>"9780310873167"</f>
        <v>9780310873167</v>
      </c>
      <c r="U3522" t="b">
        <v>0</v>
      </c>
      <c r="W3522" t="b">
        <v>0</v>
      </c>
    </row>
    <row r="3523" spans="1:23" x14ac:dyDescent="0.3">
      <c r="A3523">
        <v>1834783</v>
      </c>
      <c r="B3523">
        <v>162.12</v>
      </c>
      <c r="C3523" t="s">
        <v>8488</v>
      </c>
      <c r="E3523" t="s">
        <v>49</v>
      </c>
      <c r="F3523" t="s">
        <v>106</v>
      </c>
      <c r="G3523">
        <v>2009</v>
      </c>
      <c r="H3523" t="s">
        <v>6356</v>
      </c>
      <c r="I3523" t="s">
        <v>8484</v>
      </c>
      <c r="K3523" t="s">
        <v>25</v>
      </c>
      <c r="L3523" t="s">
        <v>30</v>
      </c>
      <c r="M3523" t="b">
        <v>1</v>
      </c>
      <c r="N3523" t="s">
        <v>44</v>
      </c>
      <c r="O3523" t="str">
        <f>"220.7"</f>
        <v>220.7</v>
      </c>
      <c r="P3523" t="s">
        <v>6271</v>
      </c>
      <c r="Q3523" t="b">
        <v>0</v>
      </c>
      <c r="S3523" t="str">
        <f>"9780310230823"</f>
        <v>9780310230823</v>
      </c>
      <c r="T3523" t="str">
        <f>"9780310590569"</f>
        <v>9780310590569</v>
      </c>
      <c r="U3523" t="b">
        <v>0</v>
      </c>
      <c r="V3523" t="s">
        <v>940</v>
      </c>
      <c r="W3523" t="b">
        <v>0</v>
      </c>
    </row>
    <row r="3524" spans="1:23" x14ac:dyDescent="0.3">
      <c r="A3524">
        <v>1834782</v>
      </c>
      <c r="B3524">
        <v>162.12</v>
      </c>
      <c r="C3524" t="s">
        <v>8489</v>
      </c>
      <c r="E3524" t="s">
        <v>49</v>
      </c>
      <c r="F3524" t="s">
        <v>106</v>
      </c>
      <c r="G3524">
        <v>2009</v>
      </c>
      <c r="H3524" t="s">
        <v>817</v>
      </c>
      <c r="I3524" t="s">
        <v>8490</v>
      </c>
      <c r="K3524" t="s">
        <v>25</v>
      </c>
      <c r="L3524" t="s">
        <v>30</v>
      </c>
      <c r="M3524" t="b">
        <v>1</v>
      </c>
      <c r="N3524" t="s">
        <v>44</v>
      </c>
      <c r="O3524" t="str">
        <f>"220.7"</f>
        <v>220.7</v>
      </c>
      <c r="P3524" t="s">
        <v>8491</v>
      </c>
      <c r="Q3524" t="b">
        <v>0</v>
      </c>
      <c r="S3524" t="str">
        <f>"9780310268932"</f>
        <v>9780310268932</v>
      </c>
      <c r="T3524" t="str">
        <f>"9780310590545"</f>
        <v>9780310590545</v>
      </c>
      <c r="U3524" t="b">
        <v>0</v>
      </c>
      <c r="W3524" t="b">
        <v>0</v>
      </c>
    </row>
    <row r="3525" spans="1:23" x14ac:dyDescent="0.3">
      <c r="A3525">
        <v>1832536</v>
      </c>
      <c r="B3525">
        <v>74.59</v>
      </c>
      <c r="C3525" t="s">
        <v>8492</v>
      </c>
      <c r="D3525" t="s">
        <v>8493</v>
      </c>
      <c r="E3525" t="s">
        <v>23</v>
      </c>
      <c r="F3525" t="s">
        <v>44</v>
      </c>
      <c r="G3525">
        <v>2018</v>
      </c>
      <c r="H3525" t="s">
        <v>2393</v>
      </c>
      <c r="K3525" t="s">
        <v>25</v>
      </c>
      <c r="L3525" t="s">
        <v>26</v>
      </c>
      <c r="M3525" t="b">
        <v>1</v>
      </c>
      <c r="N3525" t="s">
        <v>8494</v>
      </c>
      <c r="Q3525" t="b">
        <v>0</v>
      </c>
      <c r="S3525" t="str">
        <f>"9780310351344"</f>
        <v>9780310351344</v>
      </c>
      <c r="T3525" t="str">
        <f>"9780310351955"</f>
        <v>9780310351955</v>
      </c>
      <c r="U3525" t="b">
        <v>0</v>
      </c>
      <c r="W3525" t="b">
        <v>0</v>
      </c>
    </row>
    <row r="3526" spans="1:23" x14ac:dyDescent="0.3">
      <c r="A3526">
        <v>1828585</v>
      </c>
      <c r="B3526">
        <v>46.16</v>
      </c>
      <c r="C3526" t="s">
        <v>8457</v>
      </c>
      <c r="E3526" t="s">
        <v>49</v>
      </c>
      <c r="F3526" t="s">
        <v>106</v>
      </c>
      <c r="G3526">
        <v>2016</v>
      </c>
      <c r="H3526" t="s">
        <v>927</v>
      </c>
      <c r="I3526" t="s">
        <v>7926</v>
      </c>
      <c r="J3526" t="s">
        <v>895</v>
      </c>
      <c r="K3526" t="s">
        <v>25</v>
      </c>
      <c r="L3526" t="s">
        <v>30</v>
      </c>
      <c r="M3526" t="b">
        <v>1</v>
      </c>
      <c r="N3526" t="s">
        <v>8495</v>
      </c>
      <c r="O3526" t="str">
        <f>"222/.1507"</f>
        <v>222/.1507</v>
      </c>
      <c r="P3526" t="s">
        <v>6758</v>
      </c>
      <c r="Q3526" t="b">
        <v>0</v>
      </c>
      <c r="S3526" t="str">
        <f>"9780310255734"</f>
        <v>9780310255734</v>
      </c>
      <c r="T3526" t="str">
        <f>"9780310527589"</f>
        <v>9780310527589</v>
      </c>
      <c r="U3526" t="b">
        <v>0</v>
      </c>
      <c r="W3526" t="b">
        <v>0</v>
      </c>
    </row>
    <row r="3527" spans="1:23" x14ac:dyDescent="0.3">
      <c r="A3527">
        <v>1817538</v>
      </c>
      <c r="B3527">
        <v>46.16</v>
      </c>
      <c r="C3527" t="s">
        <v>1228</v>
      </c>
      <c r="E3527" t="s">
        <v>49</v>
      </c>
      <c r="F3527" t="s">
        <v>106</v>
      </c>
      <c r="G3527">
        <v>2016</v>
      </c>
      <c r="H3527" t="s">
        <v>927</v>
      </c>
      <c r="I3527" t="s">
        <v>6357</v>
      </c>
      <c r="J3527" t="s">
        <v>895</v>
      </c>
      <c r="K3527" t="s">
        <v>25</v>
      </c>
      <c r="L3527" t="s">
        <v>30</v>
      </c>
      <c r="M3527" t="b">
        <v>1</v>
      </c>
      <c r="N3527" t="s">
        <v>8496</v>
      </c>
      <c r="O3527" t="str">
        <f>"222.1207"</f>
        <v>222.1207</v>
      </c>
      <c r="P3527" t="s">
        <v>6606</v>
      </c>
      <c r="Q3527" t="b">
        <v>0</v>
      </c>
      <c r="T3527" t="str">
        <f>"9780310527565"</f>
        <v>9780310527565</v>
      </c>
      <c r="U3527" t="b">
        <v>0</v>
      </c>
      <c r="W3527" t="b">
        <v>0</v>
      </c>
    </row>
    <row r="3528" spans="1:23" x14ac:dyDescent="0.3">
      <c r="A3528">
        <v>1815454</v>
      </c>
      <c r="B3528">
        <v>53.27</v>
      </c>
      <c r="C3528" t="s">
        <v>8497</v>
      </c>
      <c r="E3528" t="s">
        <v>49</v>
      </c>
      <c r="F3528" t="s">
        <v>106</v>
      </c>
      <c r="G3528">
        <v>2016</v>
      </c>
      <c r="H3528" t="s">
        <v>927</v>
      </c>
      <c r="I3528" t="s">
        <v>8443</v>
      </c>
      <c r="K3528" t="s">
        <v>25</v>
      </c>
      <c r="L3528" t="s">
        <v>30</v>
      </c>
      <c r="M3528" t="b">
        <v>1</v>
      </c>
      <c r="N3528" t="s">
        <v>8498</v>
      </c>
      <c r="O3528" t="str">
        <f>"224/.207709"</f>
        <v>224/.207709</v>
      </c>
      <c r="P3528" t="s">
        <v>6606</v>
      </c>
      <c r="Q3528" t="b">
        <v>0</v>
      </c>
      <c r="T3528" t="str">
        <f>"9780310527688"</f>
        <v>9780310527688</v>
      </c>
      <c r="U3528" t="b">
        <v>0</v>
      </c>
      <c r="W3528" t="b">
        <v>0</v>
      </c>
    </row>
    <row r="3529" spans="1:23" x14ac:dyDescent="0.3">
      <c r="A3529">
        <v>1815453</v>
      </c>
      <c r="B3529">
        <v>63.93</v>
      </c>
      <c r="C3529" t="s">
        <v>6308</v>
      </c>
      <c r="E3529" t="s">
        <v>49</v>
      </c>
      <c r="F3529" t="s">
        <v>106</v>
      </c>
      <c r="G3529">
        <v>2016</v>
      </c>
      <c r="H3529" t="s">
        <v>1181</v>
      </c>
      <c r="I3529" t="s">
        <v>8499</v>
      </c>
      <c r="J3529" t="s">
        <v>895</v>
      </c>
      <c r="K3529" t="s">
        <v>25</v>
      </c>
      <c r="L3529" t="s">
        <v>30</v>
      </c>
      <c r="M3529" t="b">
        <v>1</v>
      </c>
      <c r="N3529" t="s">
        <v>8500</v>
      </c>
      <c r="O3529" t="str">
        <f>"222.5077"</f>
        <v>222.5077</v>
      </c>
      <c r="P3529" t="s">
        <v>6606</v>
      </c>
      <c r="Q3529" t="b">
        <v>0</v>
      </c>
      <c r="T3529" t="str">
        <f>"9780310527619"</f>
        <v>9780310527619</v>
      </c>
      <c r="U3529" t="b">
        <v>0</v>
      </c>
      <c r="W3529" t="b">
        <v>0</v>
      </c>
    </row>
    <row r="3530" spans="1:23" x14ac:dyDescent="0.3">
      <c r="A3530">
        <v>1815452</v>
      </c>
      <c r="B3530">
        <v>71.03</v>
      </c>
      <c r="C3530" t="s">
        <v>8501</v>
      </c>
      <c r="E3530" t="s">
        <v>49</v>
      </c>
      <c r="F3530" t="s">
        <v>106</v>
      </c>
      <c r="G3530">
        <v>2016</v>
      </c>
      <c r="H3530" t="s">
        <v>927</v>
      </c>
      <c r="I3530" t="s">
        <v>8502</v>
      </c>
      <c r="K3530" t="s">
        <v>25</v>
      </c>
      <c r="L3530" t="s">
        <v>30</v>
      </c>
      <c r="M3530" t="b">
        <v>1</v>
      </c>
      <c r="N3530" t="s">
        <v>8503</v>
      </c>
      <c r="O3530" t="str">
        <f>"224/.906"</f>
        <v>224/.906</v>
      </c>
      <c r="P3530" t="s">
        <v>6606</v>
      </c>
      <c r="Q3530" t="b">
        <v>0</v>
      </c>
      <c r="T3530" t="str">
        <f>"9780310527596"</f>
        <v>9780310527596</v>
      </c>
      <c r="U3530" t="b">
        <v>0</v>
      </c>
      <c r="W3530" t="b">
        <v>0</v>
      </c>
    </row>
    <row r="3531" spans="1:23" x14ac:dyDescent="0.3">
      <c r="A3531">
        <v>1815451</v>
      </c>
      <c r="B3531">
        <v>46.16</v>
      </c>
      <c r="C3531" t="s">
        <v>8504</v>
      </c>
      <c r="E3531" t="s">
        <v>49</v>
      </c>
      <c r="F3531" t="s">
        <v>106</v>
      </c>
      <c r="G3531">
        <v>2016</v>
      </c>
      <c r="H3531" t="s">
        <v>927</v>
      </c>
      <c r="I3531" t="s">
        <v>6504</v>
      </c>
      <c r="J3531" t="s">
        <v>895</v>
      </c>
      <c r="K3531" t="s">
        <v>25</v>
      </c>
      <c r="L3531" t="s">
        <v>30</v>
      </c>
      <c r="M3531" t="b">
        <v>1</v>
      </c>
      <c r="N3531" t="s">
        <v>8505</v>
      </c>
      <c r="O3531" t="str">
        <f>"222/.13077"</f>
        <v>222/.13077</v>
      </c>
      <c r="P3531" t="s">
        <v>6606</v>
      </c>
      <c r="Q3531" t="b">
        <v>0</v>
      </c>
      <c r="T3531" t="str">
        <f>"9780310527572"</f>
        <v>9780310527572</v>
      </c>
      <c r="U3531" t="b">
        <v>0</v>
      </c>
      <c r="W3531" t="b">
        <v>0</v>
      </c>
    </row>
    <row r="3532" spans="1:23" x14ac:dyDescent="0.3">
      <c r="A3532">
        <v>1815447</v>
      </c>
      <c r="B3532">
        <v>63.93</v>
      </c>
      <c r="C3532" t="s">
        <v>8506</v>
      </c>
      <c r="E3532" t="s">
        <v>49</v>
      </c>
      <c r="F3532" t="s">
        <v>106</v>
      </c>
      <c r="G3532">
        <v>2009</v>
      </c>
      <c r="H3532" t="s">
        <v>927</v>
      </c>
      <c r="I3532" t="s">
        <v>818</v>
      </c>
      <c r="K3532" t="s">
        <v>25</v>
      </c>
      <c r="L3532" t="s">
        <v>30</v>
      </c>
      <c r="M3532" t="b">
        <v>1</v>
      </c>
      <c r="N3532" t="s">
        <v>8507</v>
      </c>
      <c r="O3532" t="str">
        <f>"224.907"</f>
        <v>224.907</v>
      </c>
      <c r="P3532" t="s">
        <v>6606</v>
      </c>
      <c r="Q3532" t="b">
        <v>0</v>
      </c>
      <c r="T3532" t="str">
        <f>"9780310527701"</f>
        <v>9780310527701</v>
      </c>
      <c r="U3532" t="b">
        <v>0</v>
      </c>
      <c r="W3532" t="b">
        <v>0</v>
      </c>
    </row>
    <row r="3533" spans="1:23" x14ac:dyDescent="0.3">
      <c r="A3533">
        <v>1809005</v>
      </c>
      <c r="B3533">
        <v>65.52</v>
      </c>
      <c r="C3533" t="s">
        <v>8508</v>
      </c>
      <c r="D3533" t="s">
        <v>3445</v>
      </c>
      <c r="E3533" t="s">
        <v>49</v>
      </c>
      <c r="F3533" t="s">
        <v>106</v>
      </c>
      <c r="G3533">
        <v>2016</v>
      </c>
      <c r="H3533" t="s">
        <v>735</v>
      </c>
      <c r="I3533" t="s">
        <v>8509</v>
      </c>
      <c r="J3533" t="s">
        <v>895</v>
      </c>
      <c r="K3533" t="s">
        <v>25</v>
      </c>
      <c r="L3533" t="s">
        <v>26</v>
      </c>
      <c r="M3533" t="b">
        <v>1</v>
      </c>
      <c r="N3533" t="s">
        <v>44</v>
      </c>
      <c r="O3533" t="str">
        <f>"236/.25"</f>
        <v>236/.25</v>
      </c>
      <c r="P3533" t="s">
        <v>925</v>
      </c>
      <c r="Q3533" t="b">
        <v>0</v>
      </c>
      <c r="S3533" t="str">
        <f>"9780310516460"</f>
        <v>9780310516460</v>
      </c>
      <c r="T3533" t="str">
        <f>"9780310516644"</f>
        <v>9780310516644</v>
      </c>
      <c r="U3533" t="b">
        <v>0</v>
      </c>
      <c r="W3533" t="b">
        <v>0</v>
      </c>
    </row>
    <row r="3534" spans="1:23" x14ac:dyDescent="0.3">
      <c r="A3534">
        <v>1781159</v>
      </c>
      <c r="B3534">
        <v>60.37</v>
      </c>
      <c r="C3534" t="s">
        <v>6374</v>
      </c>
      <c r="E3534" t="s">
        <v>49</v>
      </c>
      <c r="F3534" t="s">
        <v>106</v>
      </c>
      <c r="G3534">
        <v>2008</v>
      </c>
      <c r="H3534" t="s">
        <v>101</v>
      </c>
      <c r="I3534" t="s">
        <v>6375</v>
      </c>
      <c r="K3534" t="s">
        <v>25</v>
      </c>
      <c r="L3534" t="s">
        <v>30</v>
      </c>
      <c r="M3534" t="b">
        <v>1</v>
      </c>
      <c r="N3534" t="s">
        <v>8510</v>
      </c>
      <c r="O3534" t="str">
        <f>"227.207"</f>
        <v>227.207</v>
      </c>
      <c r="P3534" t="s">
        <v>6271</v>
      </c>
      <c r="Q3534" t="b">
        <v>0</v>
      </c>
      <c r="T3534" t="str">
        <f>"9780310532057"</f>
        <v>9780310532057</v>
      </c>
      <c r="U3534" t="b">
        <v>0</v>
      </c>
      <c r="W3534" t="b">
        <v>0</v>
      </c>
    </row>
    <row r="3535" spans="1:23" x14ac:dyDescent="0.3">
      <c r="A3535">
        <v>1781158</v>
      </c>
      <c r="B3535">
        <v>56.82</v>
      </c>
      <c r="C3535" t="s">
        <v>8511</v>
      </c>
      <c r="E3535" t="s">
        <v>49</v>
      </c>
      <c r="F3535" t="s">
        <v>106</v>
      </c>
      <c r="G3535">
        <v>2006</v>
      </c>
      <c r="H3535" t="s">
        <v>6285</v>
      </c>
      <c r="I3535" t="s">
        <v>8512</v>
      </c>
      <c r="K3535" t="s">
        <v>25</v>
      </c>
      <c r="L3535" t="s">
        <v>30</v>
      </c>
      <c r="M3535" t="b">
        <v>1</v>
      </c>
      <c r="N3535" t="s">
        <v>8513</v>
      </c>
      <c r="O3535" t="str">
        <f>"227/.907"</f>
        <v>227/.907</v>
      </c>
      <c r="P3535" t="s">
        <v>6271</v>
      </c>
      <c r="Q3535" t="b">
        <v>0</v>
      </c>
      <c r="T3535" t="str">
        <f>"9780310532095"</f>
        <v>9780310532095</v>
      </c>
      <c r="U3535" t="b">
        <v>0</v>
      </c>
      <c r="W3535" t="b">
        <v>0</v>
      </c>
    </row>
    <row r="3536" spans="1:23" x14ac:dyDescent="0.3">
      <c r="A3536">
        <v>1781157</v>
      </c>
      <c r="B3536">
        <v>56.82</v>
      </c>
      <c r="C3536" t="s">
        <v>8514</v>
      </c>
      <c r="E3536" t="s">
        <v>49</v>
      </c>
      <c r="F3536" t="s">
        <v>106</v>
      </c>
      <c r="G3536">
        <v>2017</v>
      </c>
      <c r="H3536" t="s">
        <v>6285</v>
      </c>
      <c r="I3536" t="s">
        <v>8515</v>
      </c>
      <c r="K3536" t="s">
        <v>25</v>
      </c>
      <c r="L3536" t="s">
        <v>30</v>
      </c>
      <c r="M3536" t="b">
        <v>1</v>
      </c>
      <c r="N3536" t="s">
        <v>8516</v>
      </c>
      <c r="O3536" t="str">
        <f>"225.7"</f>
        <v>225.7</v>
      </c>
      <c r="P3536" t="s">
        <v>6271</v>
      </c>
      <c r="Q3536" t="b">
        <v>0</v>
      </c>
      <c r="T3536" t="str">
        <f>"9780310532088"</f>
        <v>9780310532088</v>
      </c>
      <c r="U3536" t="b">
        <v>0</v>
      </c>
      <c r="W3536" t="b">
        <v>0</v>
      </c>
    </row>
    <row r="3537" spans="1:23" x14ac:dyDescent="0.3">
      <c r="A3537">
        <v>1781156</v>
      </c>
      <c r="B3537">
        <v>67.48</v>
      </c>
      <c r="C3537" t="s">
        <v>907</v>
      </c>
      <c r="E3537" t="s">
        <v>49</v>
      </c>
      <c r="F3537" t="s">
        <v>106</v>
      </c>
      <c r="G3537">
        <v>2017</v>
      </c>
      <c r="H3537" t="s">
        <v>5766</v>
      </c>
      <c r="I3537" t="s">
        <v>8517</v>
      </c>
      <c r="K3537" t="s">
        <v>25</v>
      </c>
      <c r="L3537" t="s">
        <v>30</v>
      </c>
      <c r="M3537" t="b">
        <v>1</v>
      </c>
      <c r="N3537" t="s">
        <v>8518</v>
      </c>
      <c r="O3537" t="str">
        <f>"226.6"</f>
        <v>226.6</v>
      </c>
      <c r="P3537" t="s">
        <v>6271</v>
      </c>
      <c r="Q3537" t="b">
        <v>0</v>
      </c>
      <c r="T3537" t="str">
        <f>"9780310532033"</f>
        <v>9780310532033</v>
      </c>
      <c r="U3537" t="b">
        <v>0</v>
      </c>
      <c r="W3537" t="b">
        <v>0</v>
      </c>
    </row>
    <row r="3538" spans="1:23" x14ac:dyDescent="0.3">
      <c r="A3538">
        <v>1781155</v>
      </c>
      <c r="B3538">
        <v>60.37</v>
      </c>
      <c r="C3538" t="s">
        <v>3440</v>
      </c>
      <c r="E3538" t="s">
        <v>49</v>
      </c>
      <c r="F3538" t="s">
        <v>106</v>
      </c>
      <c r="G3538">
        <v>2007</v>
      </c>
      <c r="H3538" t="s">
        <v>5766</v>
      </c>
      <c r="I3538" t="s">
        <v>6540</v>
      </c>
      <c r="K3538" t="s">
        <v>25</v>
      </c>
      <c r="L3538" t="s">
        <v>30</v>
      </c>
      <c r="M3538" t="b">
        <v>1</v>
      </c>
      <c r="N3538" t="s">
        <v>8519</v>
      </c>
      <c r="O3538" t="str">
        <f>"220.7"</f>
        <v>220.7</v>
      </c>
      <c r="P3538" t="s">
        <v>6271</v>
      </c>
      <c r="Q3538" t="b">
        <v>0</v>
      </c>
      <c r="T3538" t="str">
        <f>"9780310532026"</f>
        <v>9780310532026</v>
      </c>
      <c r="U3538" t="b">
        <v>0</v>
      </c>
      <c r="V3538" t="s">
        <v>7036</v>
      </c>
      <c r="W3538" t="b">
        <v>0</v>
      </c>
    </row>
    <row r="3539" spans="1:23" x14ac:dyDescent="0.3">
      <c r="A3539">
        <v>1781154</v>
      </c>
      <c r="B3539">
        <v>42.61</v>
      </c>
      <c r="C3539" t="s">
        <v>8520</v>
      </c>
      <c r="E3539" t="s">
        <v>49</v>
      </c>
      <c r="F3539" t="s">
        <v>106</v>
      </c>
      <c r="G3539">
        <v>2008</v>
      </c>
      <c r="H3539" t="s">
        <v>817</v>
      </c>
      <c r="I3539" t="s">
        <v>8521</v>
      </c>
      <c r="K3539" t="s">
        <v>25</v>
      </c>
      <c r="L3539" t="s">
        <v>30</v>
      </c>
      <c r="M3539" t="b">
        <v>1</v>
      </c>
      <c r="N3539" t="s">
        <v>8522</v>
      </c>
      <c r="O3539" t="str">
        <f>"220.7"</f>
        <v>220.7</v>
      </c>
      <c r="P3539" t="s">
        <v>8445</v>
      </c>
      <c r="Q3539" t="b">
        <v>0</v>
      </c>
      <c r="T3539" t="str">
        <f>"9780310531951"</f>
        <v>9780310531951</v>
      </c>
      <c r="U3539" t="b">
        <v>0</v>
      </c>
      <c r="W3539" t="b">
        <v>0</v>
      </c>
    </row>
    <row r="3540" spans="1:23" x14ac:dyDescent="0.3">
      <c r="A3540">
        <v>1781153</v>
      </c>
      <c r="B3540">
        <v>56.82</v>
      </c>
      <c r="C3540" t="s">
        <v>8523</v>
      </c>
      <c r="E3540" t="s">
        <v>49</v>
      </c>
      <c r="F3540" t="s">
        <v>106</v>
      </c>
      <c r="G3540">
        <v>2008</v>
      </c>
      <c r="H3540" t="s">
        <v>817</v>
      </c>
      <c r="I3540" t="s">
        <v>8524</v>
      </c>
      <c r="K3540" t="s">
        <v>25</v>
      </c>
      <c r="L3540" t="s">
        <v>30</v>
      </c>
      <c r="M3540" t="b">
        <v>1</v>
      </c>
      <c r="N3540" t="s">
        <v>8525</v>
      </c>
      <c r="O3540" t="str">
        <f>"220.7"</f>
        <v>220.7</v>
      </c>
      <c r="P3540" t="s">
        <v>8445</v>
      </c>
      <c r="Q3540" t="b">
        <v>0</v>
      </c>
      <c r="T3540" t="str">
        <f>"9780310531906"</f>
        <v>9780310531906</v>
      </c>
      <c r="U3540" t="b">
        <v>0</v>
      </c>
      <c r="V3540" t="s">
        <v>7036</v>
      </c>
      <c r="W3540" t="b">
        <v>0</v>
      </c>
    </row>
    <row r="3541" spans="1:23" x14ac:dyDescent="0.3">
      <c r="A3541">
        <v>1781152</v>
      </c>
      <c r="B3541">
        <v>56.82</v>
      </c>
      <c r="C3541" t="s">
        <v>3428</v>
      </c>
      <c r="E3541" t="s">
        <v>49</v>
      </c>
      <c r="F3541" t="s">
        <v>106</v>
      </c>
      <c r="G3541">
        <v>2008</v>
      </c>
      <c r="H3541" t="s">
        <v>817</v>
      </c>
      <c r="I3541" t="s">
        <v>8526</v>
      </c>
      <c r="K3541" t="s">
        <v>25</v>
      </c>
      <c r="L3541" t="s">
        <v>30</v>
      </c>
      <c r="M3541" t="b">
        <v>1</v>
      </c>
      <c r="N3541" t="s">
        <v>8527</v>
      </c>
      <c r="O3541" t="str">
        <f>"224/.507"</f>
        <v>224/.507</v>
      </c>
      <c r="P3541" t="s">
        <v>6271</v>
      </c>
      <c r="Q3541" t="b">
        <v>0</v>
      </c>
      <c r="T3541" t="str">
        <f>"9780310531890"</f>
        <v>9780310531890</v>
      </c>
      <c r="U3541" t="b">
        <v>0</v>
      </c>
      <c r="W3541" t="b">
        <v>0</v>
      </c>
    </row>
    <row r="3542" spans="1:23" x14ac:dyDescent="0.3">
      <c r="A3542">
        <v>1781151</v>
      </c>
      <c r="B3542">
        <v>67.48</v>
      </c>
      <c r="C3542" t="s">
        <v>3433</v>
      </c>
      <c r="E3542" t="s">
        <v>49</v>
      </c>
      <c r="F3542" t="s">
        <v>106</v>
      </c>
      <c r="G3542">
        <v>2008</v>
      </c>
      <c r="H3542" t="s">
        <v>817</v>
      </c>
      <c r="I3542" t="s">
        <v>8528</v>
      </c>
      <c r="K3542" t="s">
        <v>25</v>
      </c>
      <c r="L3542" t="s">
        <v>30</v>
      </c>
      <c r="M3542" t="b">
        <v>1</v>
      </c>
      <c r="N3542" t="s">
        <v>8529</v>
      </c>
      <c r="O3542" t="str">
        <f>"224/.107"</f>
        <v>224/.107</v>
      </c>
      <c r="P3542" t="s">
        <v>6271</v>
      </c>
      <c r="Q3542" t="b">
        <v>0</v>
      </c>
      <c r="T3542" t="str">
        <f>"9780310531869"</f>
        <v>9780310531869</v>
      </c>
      <c r="U3542" t="b">
        <v>0</v>
      </c>
      <c r="W3542" t="b">
        <v>0</v>
      </c>
    </row>
    <row r="3543" spans="1:23" x14ac:dyDescent="0.3">
      <c r="A3543">
        <v>1781150</v>
      </c>
      <c r="B3543">
        <v>56.82</v>
      </c>
      <c r="C3543" t="s">
        <v>8469</v>
      </c>
      <c r="E3543" t="s">
        <v>49</v>
      </c>
      <c r="F3543" t="s">
        <v>106</v>
      </c>
      <c r="G3543">
        <v>2006</v>
      </c>
      <c r="H3543" t="s">
        <v>101</v>
      </c>
      <c r="I3543" t="s">
        <v>7010</v>
      </c>
      <c r="K3543" t="s">
        <v>25</v>
      </c>
      <c r="L3543" t="s">
        <v>30</v>
      </c>
      <c r="M3543" t="b">
        <v>1</v>
      </c>
      <c r="N3543" t="s">
        <v>8530</v>
      </c>
      <c r="O3543" t="str">
        <f>"227/.807"</f>
        <v>227/.807</v>
      </c>
      <c r="P3543" t="s">
        <v>6271</v>
      </c>
      <c r="Q3543" t="b">
        <v>0</v>
      </c>
      <c r="T3543" t="str">
        <f>"9780310532071"</f>
        <v>9780310532071</v>
      </c>
      <c r="U3543" t="b">
        <v>0</v>
      </c>
      <c r="W3543" t="b">
        <v>0</v>
      </c>
    </row>
    <row r="3544" spans="1:23" x14ac:dyDescent="0.3">
      <c r="A3544">
        <v>1781149</v>
      </c>
      <c r="B3544">
        <v>49.71</v>
      </c>
      <c r="C3544" t="s">
        <v>8531</v>
      </c>
      <c r="E3544" t="s">
        <v>49</v>
      </c>
      <c r="F3544" t="s">
        <v>106</v>
      </c>
      <c r="G3544">
        <v>2008</v>
      </c>
      <c r="H3544" t="s">
        <v>817</v>
      </c>
      <c r="I3544" t="s">
        <v>6540</v>
      </c>
      <c r="K3544" t="s">
        <v>25</v>
      </c>
      <c r="L3544" t="s">
        <v>30</v>
      </c>
      <c r="M3544" t="b">
        <v>1</v>
      </c>
      <c r="N3544" t="s">
        <v>8532</v>
      </c>
      <c r="O3544" t="str">
        <f>"220.7"</f>
        <v>220.7</v>
      </c>
      <c r="P3544" t="s">
        <v>6271</v>
      </c>
      <c r="Q3544" t="b">
        <v>0</v>
      </c>
      <c r="T3544" t="str">
        <f>"9780310531975"</f>
        <v>9780310531975</v>
      </c>
      <c r="U3544" t="b">
        <v>0</v>
      </c>
      <c r="V3544" t="s">
        <v>7036</v>
      </c>
      <c r="W3544" t="b">
        <v>0</v>
      </c>
    </row>
    <row r="3545" spans="1:23" x14ac:dyDescent="0.3">
      <c r="A3545">
        <v>1781148</v>
      </c>
      <c r="B3545">
        <v>56.82</v>
      </c>
      <c r="C3545" t="s">
        <v>3443</v>
      </c>
      <c r="E3545" t="s">
        <v>49</v>
      </c>
      <c r="F3545" t="s">
        <v>106</v>
      </c>
      <c r="G3545">
        <v>2017</v>
      </c>
      <c r="H3545" t="s">
        <v>6356</v>
      </c>
      <c r="I3545" t="s">
        <v>8484</v>
      </c>
      <c r="K3545" t="s">
        <v>25</v>
      </c>
      <c r="L3545" t="s">
        <v>30</v>
      </c>
      <c r="M3545" t="b">
        <v>1</v>
      </c>
      <c r="N3545" t="s">
        <v>8533</v>
      </c>
      <c r="O3545" t="str">
        <f>"220.7"</f>
        <v>220.7</v>
      </c>
      <c r="P3545" t="s">
        <v>6271</v>
      </c>
      <c r="Q3545" t="b">
        <v>0</v>
      </c>
      <c r="T3545" t="str">
        <f>"9780310531746"</f>
        <v>9780310531746</v>
      </c>
      <c r="U3545" t="b">
        <v>0</v>
      </c>
      <c r="V3545" t="s">
        <v>940</v>
      </c>
      <c r="W3545" t="b">
        <v>0</v>
      </c>
    </row>
    <row r="3546" spans="1:23" x14ac:dyDescent="0.3">
      <c r="A3546">
        <v>1781147</v>
      </c>
      <c r="B3546">
        <v>56.82</v>
      </c>
      <c r="C3546" t="s">
        <v>1228</v>
      </c>
      <c r="E3546" t="s">
        <v>49</v>
      </c>
      <c r="F3546" t="s">
        <v>106</v>
      </c>
      <c r="G3546">
        <v>2008</v>
      </c>
      <c r="H3546" t="s">
        <v>6356</v>
      </c>
      <c r="I3546" t="s">
        <v>6540</v>
      </c>
      <c r="K3546" t="s">
        <v>25</v>
      </c>
      <c r="L3546" t="s">
        <v>30</v>
      </c>
      <c r="M3546" t="b">
        <v>1</v>
      </c>
      <c r="N3546" t="s">
        <v>8534</v>
      </c>
      <c r="O3546" t="str">
        <f>"220.7"</f>
        <v>220.7</v>
      </c>
      <c r="P3546" t="s">
        <v>6271</v>
      </c>
      <c r="Q3546" t="b">
        <v>0</v>
      </c>
      <c r="T3546" t="str">
        <f>"9780310531739"</f>
        <v>9780310531739</v>
      </c>
      <c r="U3546" t="b">
        <v>0</v>
      </c>
      <c r="V3546" t="s">
        <v>7036</v>
      </c>
      <c r="W3546" t="b">
        <v>0</v>
      </c>
    </row>
    <row r="3547" spans="1:23" x14ac:dyDescent="0.3">
      <c r="A3547">
        <v>1781146</v>
      </c>
      <c r="B3547">
        <v>44.82</v>
      </c>
      <c r="C3547" t="s">
        <v>8535</v>
      </c>
      <c r="E3547" t="s">
        <v>49</v>
      </c>
      <c r="F3547" t="s">
        <v>106</v>
      </c>
      <c r="G3547">
        <v>2016</v>
      </c>
      <c r="H3547" t="s">
        <v>6285</v>
      </c>
      <c r="I3547" t="s">
        <v>8512</v>
      </c>
      <c r="K3547" t="s">
        <v>25</v>
      </c>
      <c r="L3547" t="s">
        <v>30</v>
      </c>
      <c r="M3547" t="b">
        <v>1</v>
      </c>
      <c r="N3547" t="s">
        <v>8536</v>
      </c>
      <c r="O3547" t="str">
        <f>"227/.907"</f>
        <v>227/.907</v>
      </c>
      <c r="P3547" t="s">
        <v>6606</v>
      </c>
      <c r="Q3547" t="b">
        <v>0</v>
      </c>
      <c r="S3547" t="str">
        <f>"9780310523086"</f>
        <v>9780310523086</v>
      </c>
      <c r="T3547" t="str">
        <f>"9780310530251"</f>
        <v>9780310530251</v>
      </c>
      <c r="U3547" t="b">
        <v>0</v>
      </c>
      <c r="W3547" t="b">
        <v>0</v>
      </c>
    </row>
    <row r="3548" spans="1:23" x14ac:dyDescent="0.3">
      <c r="A3548">
        <v>1781145</v>
      </c>
      <c r="B3548">
        <v>46.16</v>
      </c>
      <c r="C3548" t="s">
        <v>133</v>
      </c>
      <c r="E3548" t="s">
        <v>49</v>
      </c>
      <c r="F3548" t="s">
        <v>106</v>
      </c>
      <c r="G3548">
        <v>2016</v>
      </c>
      <c r="H3548" t="s">
        <v>6799</v>
      </c>
      <c r="I3548" t="s">
        <v>8537</v>
      </c>
      <c r="K3548" t="s">
        <v>25</v>
      </c>
      <c r="L3548" t="s">
        <v>30</v>
      </c>
      <c r="M3548" t="b">
        <v>1</v>
      </c>
      <c r="N3548" t="s">
        <v>8538</v>
      </c>
      <c r="O3548" t="str">
        <f>"225.7"</f>
        <v>225.7</v>
      </c>
      <c r="P3548" t="s">
        <v>6606</v>
      </c>
      <c r="Q3548" t="b">
        <v>0</v>
      </c>
      <c r="T3548" t="str">
        <f>"9780310530268"</f>
        <v>9780310530268</v>
      </c>
      <c r="U3548" t="b">
        <v>0</v>
      </c>
      <c r="W3548" t="b">
        <v>0</v>
      </c>
    </row>
    <row r="3549" spans="1:23" x14ac:dyDescent="0.3">
      <c r="A3549">
        <v>1781144</v>
      </c>
      <c r="B3549">
        <v>44.82</v>
      </c>
      <c r="C3549" t="s">
        <v>8539</v>
      </c>
      <c r="E3549" t="s">
        <v>49</v>
      </c>
      <c r="F3549" t="s">
        <v>106</v>
      </c>
      <c r="G3549">
        <v>2002</v>
      </c>
      <c r="H3549" t="s">
        <v>6799</v>
      </c>
      <c r="I3549" t="s">
        <v>7010</v>
      </c>
      <c r="K3549" t="s">
        <v>25</v>
      </c>
      <c r="L3549" t="s">
        <v>30</v>
      </c>
      <c r="M3549" t="b">
        <v>1</v>
      </c>
      <c r="N3549" t="s">
        <v>8540</v>
      </c>
      <c r="O3549" t="str">
        <f>"227/.07"</f>
        <v>227/.07</v>
      </c>
      <c r="P3549" t="s">
        <v>6606</v>
      </c>
      <c r="Q3549" t="b">
        <v>0</v>
      </c>
      <c r="S3549" t="str">
        <f>"9780310523055"</f>
        <v>9780310523055</v>
      </c>
      <c r="T3549" t="str">
        <f>"9780310530220"</f>
        <v>9780310530220</v>
      </c>
      <c r="U3549" t="b">
        <v>0</v>
      </c>
      <c r="W3549" t="b">
        <v>0</v>
      </c>
    </row>
    <row r="3550" spans="1:23" x14ac:dyDescent="0.3">
      <c r="A3550">
        <v>1781143</v>
      </c>
      <c r="B3550">
        <v>55.17</v>
      </c>
      <c r="C3550" t="s">
        <v>6374</v>
      </c>
      <c r="E3550" t="s">
        <v>49</v>
      </c>
      <c r="F3550" t="s">
        <v>106</v>
      </c>
      <c r="G3550">
        <v>2002</v>
      </c>
      <c r="H3550" t="s">
        <v>101</v>
      </c>
      <c r="I3550" t="s">
        <v>6375</v>
      </c>
      <c r="K3550" t="s">
        <v>25</v>
      </c>
      <c r="L3550" t="s">
        <v>30</v>
      </c>
      <c r="M3550" t="b">
        <v>1</v>
      </c>
      <c r="N3550" t="s">
        <v>8541</v>
      </c>
      <c r="O3550" t="str">
        <f>"227.207"</f>
        <v>227.207</v>
      </c>
      <c r="P3550" t="s">
        <v>6606</v>
      </c>
      <c r="Q3550" t="b">
        <v>0</v>
      </c>
      <c r="S3550" t="str">
        <f>"9780310523048"</f>
        <v>9780310523048</v>
      </c>
      <c r="T3550" t="str">
        <f>"9780310530213"</f>
        <v>9780310530213</v>
      </c>
      <c r="U3550" t="b">
        <v>0</v>
      </c>
      <c r="W3550" t="b">
        <v>0</v>
      </c>
    </row>
    <row r="3551" spans="1:23" x14ac:dyDescent="0.3">
      <c r="A3551">
        <v>1781142</v>
      </c>
      <c r="B3551">
        <v>42.61</v>
      </c>
      <c r="C3551" t="s">
        <v>3435</v>
      </c>
      <c r="E3551" t="s">
        <v>49</v>
      </c>
      <c r="F3551" t="s">
        <v>106</v>
      </c>
      <c r="G3551">
        <v>2002</v>
      </c>
      <c r="H3551" t="s">
        <v>6799</v>
      </c>
      <c r="I3551" t="s">
        <v>8446</v>
      </c>
      <c r="K3551" t="s">
        <v>25</v>
      </c>
      <c r="L3551" t="s">
        <v>30</v>
      </c>
      <c r="M3551" t="b">
        <v>1</v>
      </c>
      <c r="N3551" t="s">
        <v>8481</v>
      </c>
      <c r="O3551" t="str">
        <f>"226.307"</f>
        <v>226.307</v>
      </c>
      <c r="P3551" t="s">
        <v>6606</v>
      </c>
      <c r="Q3551" t="b">
        <v>0</v>
      </c>
      <c r="T3551" t="str">
        <f>"9780310530152"</f>
        <v>9780310530152</v>
      </c>
      <c r="U3551" t="b">
        <v>0</v>
      </c>
      <c r="W3551" t="b">
        <v>0</v>
      </c>
    </row>
    <row r="3552" spans="1:23" x14ac:dyDescent="0.3">
      <c r="A3552">
        <v>1781141</v>
      </c>
      <c r="B3552">
        <v>46.16</v>
      </c>
      <c r="C3552" t="s">
        <v>3419</v>
      </c>
      <c r="E3552" t="s">
        <v>49</v>
      </c>
      <c r="F3552" t="s">
        <v>106</v>
      </c>
      <c r="G3552">
        <v>2016</v>
      </c>
      <c r="H3552" t="s">
        <v>6799</v>
      </c>
      <c r="I3552" t="s">
        <v>8487</v>
      </c>
      <c r="J3552" t="s">
        <v>895</v>
      </c>
      <c r="K3552" t="s">
        <v>25</v>
      </c>
      <c r="L3552" t="s">
        <v>30</v>
      </c>
      <c r="M3552" t="b">
        <v>1</v>
      </c>
      <c r="N3552" t="s">
        <v>8542</v>
      </c>
      <c r="O3552" t="str">
        <f>"226.2/077"</f>
        <v>226.2/077</v>
      </c>
      <c r="P3552" t="s">
        <v>6606</v>
      </c>
      <c r="Q3552" t="b">
        <v>0</v>
      </c>
      <c r="S3552" t="str">
        <f>"9780310218067"</f>
        <v>9780310218067</v>
      </c>
      <c r="T3552" t="str">
        <f>"9780310529965"</f>
        <v>9780310529965</v>
      </c>
      <c r="U3552" t="b">
        <v>0</v>
      </c>
      <c r="W3552" t="b">
        <v>0</v>
      </c>
    </row>
    <row r="3553" spans="1:23" x14ac:dyDescent="0.3">
      <c r="A3553">
        <v>1781140</v>
      </c>
      <c r="B3553">
        <v>51.72</v>
      </c>
      <c r="C3553" t="s">
        <v>8543</v>
      </c>
      <c r="E3553" t="s">
        <v>49</v>
      </c>
      <c r="F3553" t="s">
        <v>106</v>
      </c>
      <c r="G3553">
        <v>2011</v>
      </c>
      <c r="H3553" t="s">
        <v>6799</v>
      </c>
      <c r="I3553" t="s">
        <v>8544</v>
      </c>
      <c r="K3553" t="s">
        <v>25</v>
      </c>
      <c r="L3553" t="s">
        <v>30</v>
      </c>
      <c r="M3553" t="b">
        <v>1</v>
      </c>
      <c r="N3553" t="s">
        <v>8545</v>
      </c>
      <c r="O3553" t="str">
        <f>"220.7"</f>
        <v>220.7</v>
      </c>
      <c r="P3553" t="s">
        <v>6606</v>
      </c>
      <c r="Q3553" t="b">
        <v>0</v>
      </c>
      <c r="S3553" t="str">
        <f>"9780310522959"</f>
        <v>9780310522959</v>
      </c>
      <c r="T3553" t="str">
        <f>"9780310530206"</f>
        <v>9780310530206</v>
      </c>
      <c r="U3553" t="b">
        <v>0</v>
      </c>
      <c r="W3553" t="b">
        <v>0</v>
      </c>
    </row>
    <row r="3554" spans="1:23" x14ac:dyDescent="0.3">
      <c r="A3554">
        <v>1780673</v>
      </c>
      <c r="B3554">
        <v>120.72</v>
      </c>
      <c r="C3554" t="s">
        <v>8546</v>
      </c>
      <c r="E3554" t="s">
        <v>49</v>
      </c>
      <c r="F3554" t="s">
        <v>106</v>
      </c>
      <c r="G3554">
        <v>2015</v>
      </c>
      <c r="H3554" t="s">
        <v>6799</v>
      </c>
      <c r="I3554" t="s">
        <v>6540</v>
      </c>
      <c r="K3554" t="s">
        <v>25</v>
      </c>
      <c r="L3554" t="s">
        <v>26</v>
      </c>
      <c r="M3554" t="b">
        <v>1</v>
      </c>
      <c r="N3554" t="s">
        <v>8547</v>
      </c>
      <c r="O3554" t="str">
        <f>"227.8"</f>
        <v>227.8</v>
      </c>
      <c r="P3554" t="s">
        <v>6546</v>
      </c>
      <c r="Q3554" t="b">
        <v>0</v>
      </c>
      <c r="S3554" t="str">
        <f>"9780310521990"</f>
        <v>9780310521990</v>
      </c>
      <c r="T3554" t="str">
        <f>"9780310586371"</f>
        <v>9780310586371</v>
      </c>
      <c r="U3554" t="b">
        <v>0</v>
      </c>
      <c r="W3554" t="b">
        <v>0</v>
      </c>
    </row>
    <row r="3555" spans="1:23" x14ac:dyDescent="0.3">
      <c r="A3555">
        <v>1780671</v>
      </c>
      <c r="B3555">
        <v>60.37</v>
      </c>
      <c r="C3555" t="s">
        <v>8539</v>
      </c>
      <c r="E3555" t="s">
        <v>49</v>
      </c>
      <c r="F3555" t="s">
        <v>106</v>
      </c>
      <c r="G3555">
        <v>2006</v>
      </c>
      <c r="H3555" t="s">
        <v>101</v>
      </c>
      <c r="I3555" t="s">
        <v>8548</v>
      </c>
      <c r="K3555" t="s">
        <v>25</v>
      </c>
      <c r="L3555" t="s">
        <v>30</v>
      </c>
      <c r="M3555" t="b">
        <v>1</v>
      </c>
      <c r="N3555" t="s">
        <v>8549</v>
      </c>
      <c r="O3555" t="str">
        <f>"227.507"</f>
        <v>227.507</v>
      </c>
      <c r="P3555" t="s">
        <v>8550</v>
      </c>
      <c r="Q3555" t="b">
        <v>0</v>
      </c>
      <c r="S3555" t="str">
        <f>"9780310235033"</f>
        <v>9780310235033</v>
      </c>
      <c r="T3555" t="str">
        <f>"9780310532064"</f>
        <v>9780310532064</v>
      </c>
      <c r="U3555" t="b">
        <v>0</v>
      </c>
      <c r="V3555" t="s">
        <v>940</v>
      </c>
      <c r="W3555" t="b">
        <v>0</v>
      </c>
    </row>
    <row r="3556" spans="1:23" x14ac:dyDescent="0.3">
      <c r="A3556">
        <v>1780669</v>
      </c>
      <c r="B3556">
        <v>56.82</v>
      </c>
      <c r="C3556" t="s">
        <v>8551</v>
      </c>
      <c r="E3556" t="s">
        <v>49</v>
      </c>
      <c r="F3556" t="s">
        <v>106</v>
      </c>
      <c r="G3556">
        <v>2017</v>
      </c>
      <c r="H3556" t="s">
        <v>817</v>
      </c>
      <c r="I3556" t="s">
        <v>8552</v>
      </c>
      <c r="K3556" t="s">
        <v>25</v>
      </c>
      <c r="L3556" t="s">
        <v>30</v>
      </c>
      <c r="M3556" t="b">
        <v>1</v>
      </c>
      <c r="N3556" t="s">
        <v>8553</v>
      </c>
      <c r="O3556" t="str">
        <f>"224.4"</f>
        <v>224.4</v>
      </c>
      <c r="P3556" t="s">
        <v>6271</v>
      </c>
      <c r="Q3556" t="b">
        <v>0</v>
      </c>
      <c r="T3556" t="str">
        <f>"9780310531883"</f>
        <v>9780310531883</v>
      </c>
      <c r="U3556" t="b">
        <v>0</v>
      </c>
      <c r="W3556" t="b">
        <v>0</v>
      </c>
    </row>
    <row r="3557" spans="1:23" x14ac:dyDescent="0.3">
      <c r="A3557">
        <v>1780668</v>
      </c>
      <c r="B3557">
        <v>60.37</v>
      </c>
      <c r="C3557" t="s">
        <v>6313</v>
      </c>
      <c r="E3557" t="s">
        <v>49</v>
      </c>
      <c r="F3557" t="s">
        <v>106</v>
      </c>
      <c r="G3557">
        <v>2017</v>
      </c>
      <c r="H3557" t="s">
        <v>5768</v>
      </c>
      <c r="I3557" t="s">
        <v>8464</v>
      </c>
      <c r="K3557" t="s">
        <v>25</v>
      </c>
      <c r="L3557" t="s">
        <v>30</v>
      </c>
      <c r="M3557" t="b">
        <v>1</v>
      </c>
      <c r="N3557" t="s">
        <v>8554</v>
      </c>
      <c r="O3557" t="str">
        <f>"222/.607"</f>
        <v>222/.607</v>
      </c>
      <c r="P3557" t="s">
        <v>6271</v>
      </c>
      <c r="Q3557" t="b">
        <v>0</v>
      </c>
      <c r="S3557" t="str">
        <f>"9780310234968"</f>
        <v>9780310234968</v>
      </c>
      <c r="T3557" t="str">
        <f>"9780310531814"</f>
        <v>9780310531814</v>
      </c>
      <c r="U3557" t="b">
        <v>0</v>
      </c>
      <c r="W3557" t="b">
        <v>0</v>
      </c>
    </row>
    <row r="3558" spans="1:23" x14ac:dyDescent="0.3">
      <c r="A3558">
        <v>1780665</v>
      </c>
      <c r="B3558">
        <v>78.14</v>
      </c>
      <c r="C3558" t="s">
        <v>3437</v>
      </c>
      <c r="E3558" t="s">
        <v>49</v>
      </c>
      <c r="F3558" t="s">
        <v>106</v>
      </c>
      <c r="G3558">
        <v>2017</v>
      </c>
      <c r="H3558" t="s">
        <v>5768</v>
      </c>
      <c r="I3558" t="s">
        <v>8555</v>
      </c>
      <c r="K3558" t="s">
        <v>25</v>
      </c>
      <c r="L3558" t="s">
        <v>30</v>
      </c>
      <c r="M3558" t="b">
        <v>1</v>
      </c>
      <c r="N3558" t="s">
        <v>8056</v>
      </c>
      <c r="O3558" t="str">
        <f>"222/.407"</f>
        <v>222/.407</v>
      </c>
      <c r="P3558" t="s">
        <v>8445</v>
      </c>
      <c r="Q3558" t="b">
        <v>0</v>
      </c>
      <c r="T3558" t="str">
        <f>"9780310531791"</f>
        <v>9780310531791</v>
      </c>
      <c r="U3558" t="b">
        <v>0</v>
      </c>
      <c r="W3558" t="b">
        <v>0</v>
      </c>
    </row>
    <row r="3559" spans="1:23" x14ac:dyDescent="0.3">
      <c r="A3559">
        <v>1780662</v>
      </c>
      <c r="B3559">
        <v>67.48</v>
      </c>
      <c r="C3559" t="s">
        <v>6408</v>
      </c>
      <c r="E3559" t="s">
        <v>49</v>
      </c>
      <c r="F3559" t="s">
        <v>106</v>
      </c>
      <c r="G3559">
        <v>2017</v>
      </c>
      <c r="H3559" t="s">
        <v>6356</v>
      </c>
      <c r="I3559" t="s">
        <v>6764</v>
      </c>
      <c r="K3559" t="s">
        <v>25</v>
      </c>
      <c r="L3559" t="s">
        <v>30</v>
      </c>
      <c r="M3559" t="b">
        <v>1</v>
      </c>
      <c r="N3559" t="s">
        <v>8556</v>
      </c>
      <c r="O3559" t="str">
        <f>"221"</f>
        <v>221</v>
      </c>
      <c r="P3559" t="s">
        <v>6271</v>
      </c>
      <c r="Q3559" t="b">
        <v>0</v>
      </c>
      <c r="T3559" t="str">
        <f>"9780310531753"</f>
        <v>9780310531753</v>
      </c>
      <c r="U3559" t="b">
        <v>0</v>
      </c>
      <c r="W3559" t="b">
        <v>0</v>
      </c>
    </row>
    <row r="3560" spans="1:23" x14ac:dyDescent="0.3">
      <c r="A3560">
        <v>1780660</v>
      </c>
      <c r="B3560">
        <v>68.97</v>
      </c>
      <c r="C3560" t="s">
        <v>8557</v>
      </c>
      <c r="D3560" t="s">
        <v>7295</v>
      </c>
      <c r="E3560" t="s">
        <v>49</v>
      </c>
      <c r="F3560" t="s">
        <v>44</v>
      </c>
      <c r="G3560">
        <v>2011</v>
      </c>
      <c r="H3560" t="s">
        <v>7908</v>
      </c>
      <c r="I3560" t="s">
        <v>8558</v>
      </c>
      <c r="K3560" t="s">
        <v>25</v>
      </c>
      <c r="L3560" t="s">
        <v>26</v>
      </c>
      <c r="M3560" t="b">
        <v>1</v>
      </c>
      <c r="N3560" t="s">
        <v>8559</v>
      </c>
      <c r="O3560" t="str">
        <f>"220.3"</f>
        <v>220.3</v>
      </c>
      <c r="P3560" t="s">
        <v>7297</v>
      </c>
      <c r="Q3560" t="b">
        <v>0</v>
      </c>
      <c r="S3560" t="str">
        <f>"9780310278214"</f>
        <v>9780310278214</v>
      </c>
      <c r="T3560" t="str">
        <f>"9780310537533"</f>
        <v>9780310537533</v>
      </c>
      <c r="U3560" t="b">
        <v>0</v>
      </c>
      <c r="W3560" t="b">
        <v>0</v>
      </c>
    </row>
    <row r="3561" spans="1:23" x14ac:dyDescent="0.3">
      <c r="A3561">
        <v>1780659</v>
      </c>
      <c r="B3561">
        <v>234.57</v>
      </c>
      <c r="C3561" t="s">
        <v>3440</v>
      </c>
      <c r="E3561" t="s">
        <v>49</v>
      </c>
      <c r="F3561" t="s">
        <v>106</v>
      </c>
      <c r="G3561">
        <v>2016</v>
      </c>
      <c r="H3561" t="s">
        <v>5766</v>
      </c>
      <c r="I3561" t="s">
        <v>8560</v>
      </c>
      <c r="K3561" t="s">
        <v>25</v>
      </c>
      <c r="L3561" t="s">
        <v>30</v>
      </c>
      <c r="M3561" t="b">
        <v>1</v>
      </c>
      <c r="N3561" t="s">
        <v>8561</v>
      </c>
      <c r="O3561" t="str">
        <f>"226.5/07"</f>
        <v>226.5/07</v>
      </c>
      <c r="P3561" t="s">
        <v>6373</v>
      </c>
      <c r="Q3561" t="b">
        <v>0</v>
      </c>
      <c r="S3561" t="str">
        <f>"9780310243601"</f>
        <v>9780310243601</v>
      </c>
      <c r="T3561" t="str">
        <f>"9780310537649"</f>
        <v>9780310537649</v>
      </c>
      <c r="U3561" t="b">
        <v>0</v>
      </c>
      <c r="W3561" t="b">
        <v>0</v>
      </c>
    </row>
    <row r="3562" spans="1:23" x14ac:dyDescent="0.3">
      <c r="A3562">
        <v>1780658</v>
      </c>
      <c r="B3562">
        <v>78.14</v>
      </c>
      <c r="C3562" t="s">
        <v>3419</v>
      </c>
      <c r="E3562" t="s">
        <v>49</v>
      </c>
      <c r="F3562" t="s">
        <v>106</v>
      </c>
      <c r="G3562">
        <v>2010</v>
      </c>
      <c r="H3562" t="s">
        <v>5766</v>
      </c>
      <c r="I3562" t="s">
        <v>8484</v>
      </c>
      <c r="K3562" t="s">
        <v>25</v>
      </c>
      <c r="L3562" t="s">
        <v>30</v>
      </c>
      <c r="M3562" t="b">
        <v>1</v>
      </c>
      <c r="N3562" t="s">
        <v>8562</v>
      </c>
      <c r="O3562" t="str">
        <f>"220.7"</f>
        <v>220.7</v>
      </c>
      <c r="P3562" t="s">
        <v>8482</v>
      </c>
      <c r="Q3562" t="b">
        <v>0</v>
      </c>
      <c r="S3562" t="str">
        <f>"9780310268925"</f>
        <v>9780310268925</v>
      </c>
      <c r="T3562" t="str">
        <f>"9780310531982"</f>
        <v>9780310531982</v>
      </c>
      <c r="U3562" t="b">
        <v>0</v>
      </c>
      <c r="V3562" t="s">
        <v>940</v>
      </c>
      <c r="W3562" t="b">
        <v>0</v>
      </c>
    </row>
    <row r="3563" spans="1:23" x14ac:dyDescent="0.3">
      <c r="A3563">
        <v>1780656</v>
      </c>
      <c r="B3563">
        <v>68.97</v>
      </c>
      <c r="C3563" t="s">
        <v>8563</v>
      </c>
      <c r="D3563" t="s">
        <v>7295</v>
      </c>
      <c r="E3563" t="s">
        <v>49</v>
      </c>
      <c r="F3563" t="s">
        <v>44</v>
      </c>
      <c r="G3563">
        <v>2011</v>
      </c>
      <c r="H3563" t="s">
        <v>738</v>
      </c>
      <c r="I3563" t="s">
        <v>8564</v>
      </c>
      <c r="J3563" t="s">
        <v>8565</v>
      </c>
      <c r="K3563" t="s">
        <v>25</v>
      </c>
      <c r="L3563" t="s">
        <v>26</v>
      </c>
      <c r="M3563" t="b">
        <v>1</v>
      </c>
      <c r="N3563" t="s">
        <v>8559</v>
      </c>
      <c r="O3563" t="str">
        <f>"220.9/5"</f>
        <v>220.9/5</v>
      </c>
      <c r="P3563" t="s">
        <v>7297</v>
      </c>
      <c r="Q3563" t="b">
        <v>0</v>
      </c>
      <c r="S3563" t="str">
        <f>"9780310286882"</f>
        <v>9780310286882</v>
      </c>
      <c r="T3563" t="str">
        <f>"9780310535447"</f>
        <v>9780310535447</v>
      </c>
      <c r="U3563" t="b">
        <v>0</v>
      </c>
      <c r="W3563" t="b">
        <v>0</v>
      </c>
    </row>
    <row r="3564" spans="1:23" x14ac:dyDescent="0.3">
      <c r="A3564">
        <v>1780655</v>
      </c>
      <c r="B3564">
        <v>137.97</v>
      </c>
      <c r="C3564" t="s">
        <v>3431</v>
      </c>
      <c r="D3564" t="s">
        <v>8566</v>
      </c>
      <c r="E3564" t="s">
        <v>49</v>
      </c>
      <c r="F3564" t="s">
        <v>106</v>
      </c>
      <c r="G3564">
        <v>2001</v>
      </c>
      <c r="H3564" t="s">
        <v>927</v>
      </c>
      <c r="I3564" t="s">
        <v>8567</v>
      </c>
      <c r="K3564" t="s">
        <v>25</v>
      </c>
      <c r="L3564" t="s">
        <v>26</v>
      </c>
      <c r="M3564" t="b">
        <v>1</v>
      </c>
      <c r="N3564" t="s">
        <v>8568</v>
      </c>
      <c r="O3564" t="str">
        <f>"222/.11077"</f>
        <v>222/.11077</v>
      </c>
      <c r="Q3564" t="b">
        <v>0</v>
      </c>
      <c r="S3564" t="str">
        <f>"9780310224587"</f>
        <v>9780310224587</v>
      </c>
      <c r="T3564" t="str">
        <f>"9780310531029"</f>
        <v>9780310531029</v>
      </c>
      <c r="U3564" t="b">
        <v>0</v>
      </c>
      <c r="W3564" t="b">
        <v>0</v>
      </c>
    </row>
    <row r="3565" spans="1:23" x14ac:dyDescent="0.3">
      <c r="A3565">
        <v>1780654</v>
      </c>
      <c r="B3565">
        <v>103.47</v>
      </c>
      <c r="C3565" t="s">
        <v>8569</v>
      </c>
      <c r="E3565" t="s">
        <v>49</v>
      </c>
      <c r="F3565" t="s">
        <v>106</v>
      </c>
      <c r="G3565">
        <v>2017</v>
      </c>
      <c r="H3565" t="s">
        <v>1181</v>
      </c>
      <c r="I3565" t="s">
        <v>8570</v>
      </c>
      <c r="K3565" t="s">
        <v>25</v>
      </c>
      <c r="L3565" t="s">
        <v>26</v>
      </c>
      <c r="M3565" t="b">
        <v>1</v>
      </c>
      <c r="N3565" t="s">
        <v>6419</v>
      </c>
      <c r="O3565" t="str">
        <f>"227.94077"</f>
        <v>227.94077</v>
      </c>
      <c r="P3565" t="s">
        <v>8571</v>
      </c>
      <c r="Q3565" t="b">
        <v>0</v>
      </c>
      <c r="S3565" t="str">
        <f>"9780310327325"</f>
        <v>9780310327325</v>
      </c>
      <c r="T3565" t="str">
        <f>"9780310599210"</f>
        <v>9780310599210</v>
      </c>
      <c r="U3565" t="b">
        <v>0</v>
      </c>
      <c r="W3565" t="b">
        <v>0</v>
      </c>
    </row>
    <row r="3566" spans="1:23" x14ac:dyDescent="0.3">
      <c r="A3566">
        <v>1780653</v>
      </c>
      <c r="B3566">
        <v>397.96</v>
      </c>
      <c r="C3566" t="s">
        <v>8572</v>
      </c>
      <c r="D3566" t="s">
        <v>8573</v>
      </c>
      <c r="E3566" t="s">
        <v>49</v>
      </c>
      <c r="F3566" t="s">
        <v>106</v>
      </c>
      <c r="G3566">
        <v>2016</v>
      </c>
      <c r="H3566" t="s">
        <v>6799</v>
      </c>
      <c r="I3566" t="s">
        <v>8487</v>
      </c>
      <c r="J3566" t="s">
        <v>895</v>
      </c>
      <c r="K3566" t="s">
        <v>25</v>
      </c>
      <c r="L3566" t="s">
        <v>30</v>
      </c>
      <c r="M3566" t="b">
        <v>1</v>
      </c>
      <c r="N3566" t="s">
        <v>8574</v>
      </c>
      <c r="O3566" t="str">
        <f>"226.2/07"</f>
        <v>226.2/07</v>
      </c>
      <c r="Q3566" t="b">
        <v>0</v>
      </c>
      <c r="T3566" t="str">
        <f>"9780310532804"</f>
        <v>9780310532804</v>
      </c>
      <c r="U3566" t="b">
        <v>0</v>
      </c>
      <c r="W3566" t="b">
        <v>0</v>
      </c>
    </row>
    <row r="3567" spans="1:23" x14ac:dyDescent="0.3">
      <c r="A3567">
        <v>1780652</v>
      </c>
      <c r="B3567">
        <v>127.62</v>
      </c>
      <c r="C3567" t="s">
        <v>87</v>
      </c>
      <c r="E3567" t="s">
        <v>49</v>
      </c>
      <c r="F3567" t="s">
        <v>106</v>
      </c>
      <c r="G3567">
        <v>2012</v>
      </c>
      <c r="H3567" t="s">
        <v>1181</v>
      </c>
      <c r="I3567" t="s">
        <v>8575</v>
      </c>
      <c r="K3567" t="s">
        <v>25</v>
      </c>
      <c r="L3567" t="s">
        <v>30</v>
      </c>
      <c r="M3567" t="b">
        <v>1</v>
      </c>
      <c r="N3567" t="s">
        <v>8576</v>
      </c>
      <c r="O3567" t="str">
        <f>"227/.707"</f>
        <v>227/.707</v>
      </c>
      <c r="P3567" t="s">
        <v>6373</v>
      </c>
      <c r="Q3567" t="b">
        <v>0</v>
      </c>
      <c r="S3567" t="str">
        <f>"9780310243953"</f>
        <v>9780310243953</v>
      </c>
      <c r="T3567" t="str">
        <f>"9780310532149"</f>
        <v>9780310532149</v>
      </c>
      <c r="U3567" t="b">
        <v>0</v>
      </c>
      <c r="W3567" t="b">
        <v>0</v>
      </c>
    </row>
    <row r="3568" spans="1:23" x14ac:dyDescent="0.3">
      <c r="A3568">
        <v>1780651</v>
      </c>
      <c r="B3568">
        <v>206.97</v>
      </c>
      <c r="C3568" t="s">
        <v>907</v>
      </c>
      <c r="E3568" t="s">
        <v>49</v>
      </c>
      <c r="F3568" t="s">
        <v>106</v>
      </c>
      <c r="G3568">
        <v>2016</v>
      </c>
      <c r="H3568" t="s">
        <v>57</v>
      </c>
      <c r="I3568" t="s">
        <v>8577</v>
      </c>
      <c r="K3568" t="s">
        <v>25</v>
      </c>
      <c r="L3568" t="s">
        <v>26</v>
      </c>
      <c r="M3568" t="b">
        <v>1</v>
      </c>
      <c r="N3568" t="s">
        <v>8578</v>
      </c>
      <c r="O3568" t="str">
        <f>"226.6/07"</f>
        <v>226.6/07</v>
      </c>
      <c r="P3568" t="s">
        <v>6373</v>
      </c>
      <c r="Q3568" t="b">
        <v>0</v>
      </c>
      <c r="S3568" t="str">
        <f>"9780310243670"</f>
        <v>9780310243670</v>
      </c>
      <c r="T3568" t="str">
        <f>"9780310532132"</f>
        <v>9780310532132</v>
      </c>
      <c r="U3568" t="b">
        <v>0</v>
      </c>
      <c r="W3568" t="b">
        <v>0</v>
      </c>
    </row>
    <row r="3569" spans="1:23" x14ac:dyDescent="0.3">
      <c r="A3569">
        <v>1780650</v>
      </c>
      <c r="B3569">
        <v>120.72</v>
      </c>
      <c r="C3569" t="s">
        <v>5780</v>
      </c>
      <c r="E3569" t="s">
        <v>49</v>
      </c>
      <c r="F3569" t="s">
        <v>106</v>
      </c>
      <c r="G3569">
        <v>2012</v>
      </c>
      <c r="H3569" t="s">
        <v>1181</v>
      </c>
      <c r="I3569" t="s">
        <v>8579</v>
      </c>
      <c r="J3569" t="s">
        <v>8580</v>
      </c>
      <c r="K3569" t="s">
        <v>25</v>
      </c>
      <c r="L3569" t="s">
        <v>30</v>
      </c>
      <c r="M3569" t="b">
        <v>1</v>
      </c>
      <c r="N3569" t="s">
        <v>44</v>
      </c>
      <c r="O3569" t="str">
        <f>"227.8107"</f>
        <v>227.8107</v>
      </c>
      <c r="P3569" t="s">
        <v>8581</v>
      </c>
      <c r="Q3569" t="b">
        <v>0</v>
      </c>
      <c r="S3569" t="str">
        <f>"9780310243960"</f>
        <v>9780310243960</v>
      </c>
      <c r="T3569" t="str">
        <f>"9780310492870"</f>
        <v>9780310492870</v>
      </c>
      <c r="U3569" t="b">
        <v>0</v>
      </c>
      <c r="W3569" t="b">
        <v>0</v>
      </c>
    </row>
    <row r="3570" spans="1:23" x14ac:dyDescent="0.3">
      <c r="A3570">
        <v>1780649</v>
      </c>
      <c r="B3570">
        <v>103.47</v>
      </c>
      <c r="C3570" t="s">
        <v>97</v>
      </c>
      <c r="E3570" t="s">
        <v>49</v>
      </c>
      <c r="F3570" t="s">
        <v>106</v>
      </c>
      <c r="G3570">
        <v>2016</v>
      </c>
      <c r="H3570" t="s">
        <v>98</v>
      </c>
      <c r="I3570" t="s">
        <v>8582</v>
      </c>
      <c r="K3570" t="s">
        <v>25</v>
      </c>
      <c r="L3570" t="s">
        <v>26</v>
      </c>
      <c r="M3570" t="b">
        <v>1</v>
      </c>
      <c r="N3570" t="s">
        <v>8583</v>
      </c>
      <c r="O3570" t="str">
        <f>"227/.507"</f>
        <v>227/.507</v>
      </c>
      <c r="P3570" t="s">
        <v>6508</v>
      </c>
      <c r="Q3570" t="b">
        <v>0</v>
      </c>
      <c r="S3570" t="str">
        <f>"9780310327233"</f>
        <v>9780310327233</v>
      </c>
      <c r="T3570" t="str">
        <f>"9780310599128"</f>
        <v>9780310599128</v>
      </c>
      <c r="U3570" t="b">
        <v>0</v>
      </c>
      <c r="W3570" t="b">
        <v>0</v>
      </c>
    </row>
    <row r="3571" spans="1:23" x14ac:dyDescent="0.3">
      <c r="A3571">
        <v>1780648</v>
      </c>
      <c r="B3571">
        <v>103.47</v>
      </c>
      <c r="C3571" t="s">
        <v>3428</v>
      </c>
      <c r="E3571" t="s">
        <v>49</v>
      </c>
      <c r="F3571" t="s">
        <v>106</v>
      </c>
      <c r="G3571">
        <v>2016</v>
      </c>
      <c r="H3571" t="s">
        <v>927</v>
      </c>
      <c r="I3571" t="s">
        <v>8584</v>
      </c>
      <c r="K3571" t="s">
        <v>25</v>
      </c>
      <c r="L3571" t="s">
        <v>26</v>
      </c>
      <c r="M3571" t="b">
        <v>1</v>
      </c>
      <c r="N3571" t="s">
        <v>8585</v>
      </c>
      <c r="O3571" t="str">
        <f>"224/.5077"</f>
        <v>224/.5077</v>
      </c>
      <c r="P3571" t="s">
        <v>8586</v>
      </c>
      <c r="Q3571" t="b">
        <v>0</v>
      </c>
      <c r="S3571" t="str">
        <f>"9780310491293"</f>
        <v>9780310491293</v>
      </c>
      <c r="T3571" t="str">
        <f>"9780310491309"</f>
        <v>9780310491309</v>
      </c>
      <c r="U3571" t="b">
        <v>0</v>
      </c>
      <c r="W3571" t="b">
        <v>0</v>
      </c>
    </row>
    <row r="3572" spans="1:23" x14ac:dyDescent="0.3">
      <c r="A3572">
        <v>1780580</v>
      </c>
      <c r="B3572">
        <v>65.52</v>
      </c>
      <c r="C3572" t="s">
        <v>8587</v>
      </c>
      <c r="E3572" t="s">
        <v>49</v>
      </c>
      <c r="F3572" t="s">
        <v>44</v>
      </c>
      <c r="G3572">
        <v>1958</v>
      </c>
      <c r="H3572" t="s">
        <v>881</v>
      </c>
      <c r="I3572" t="s">
        <v>8588</v>
      </c>
      <c r="J3572" t="s">
        <v>8589</v>
      </c>
      <c r="K3572" t="s">
        <v>25</v>
      </c>
      <c r="L3572" t="s">
        <v>30</v>
      </c>
      <c r="M3572" t="b">
        <v>1</v>
      </c>
      <c r="N3572" t="s">
        <v>7251</v>
      </c>
      <c r="O3572" t="str">
        <f>"220.92"</f>
        <v>220.92</v>
      </c>
      <c r="Q3572" t="b">
        <v>0</v>
      </c>
      <c r="S3572" t="str">
        <f>"9780310280811"</f>
        <v>9780310280811</v>
      </c>
      <c r="T3572" t="str">
        <f>"9780310535485"</f>
        <v>9780310535485</v>
      </c>
      <c r="U3572" t="b">
        <v>0</v>
      </c>
      <c r="W3572" t="b">
        <v>0</v>
      </c>
    </row>
    <row r="3573" spans="1:23" x14ac:dyDescent="0.3">
      <c r="A3573">
        <v>1780579</v>
      </c>
      <c r="B3573">
        <v>65.52</v>
      </c>
      <c r="C3573" t="s">
        <v>8590</v>
      </c>
      <c r="E3573" t="s">
        <v>49</v>
      </c>
      <c r="F3573" t="s">
        <v>44</v>
      </c>
      <c r="G3573">
        <v>2016</v>
      </c>
      <c r="H3573" t="s">
        <v>89</v>
      </c>
      <c r="I3573" t="s">
        <v>8591</v>
      </c>
      <c r="J3573" t="s">
        <v>895</v>
      </c>
      <c r="K3573" t="s">
        <v>25</v>
      </c>
      <c r="L3573" t="s">
        <v>30</v>
      </c>
      <c r="M3573" t="b">
        <v>1</v>
      </c>
      <c r="N3573" t="s">
        <v>7251</v>
      </c>
      <c r="O3573" t="str">
        <f>"220.92082"</f>
        <v>220.92082</v>
      </c>
      <c r="Q3573" t="b">
        <v>0</v>
      </c>
      <c r="S3573" t="str">
        <f>"9780310281511"</f>
        <v>9780310281511</v>
      </c>
      <c r="T3573" t="str">
        <f>"9780310531081"</f>
        <v>9780310531081</v>
      </c>
      <c r="U3573" t="b">
        <v>0</v>
      </c>
      <c r="W3573" t="b">
        <v>0</v>
      </c>
    </row>
    <row r="3574" spans="1:23" x14ac:dyDescent="0.3">
      <c r="A3574">
        <v>1780578</v>
      </c>
      <c r="B3574">
        <v>99.46</v>
      </c>
      <c r="C3574" t="s">
        <v>6245</v>
      </c>
      <c r="E3574" t="s">
        <v>49</v>
      </c>
      <c r="F3574" t="s">
        <v>106</v>
      </c>
      <c r="G3574">
        <v>2017</v>
      </c>
      <c r="H3574" t="s">
        <v>3417</v>
      </c>
      <c r="I3574" t="s">
        <v>8592</v>
      </c>
      <c r="K3574" t="s">
        <v>25</v>
      </c>
      <c r="L3574" t="s">
        <v>30</v>
      </c>
      <c r="M3574" t="b">
        <v>1</v>
      </c>
      <c r="N3574" t="s">
        <v>8593</v>
      </c>
      <c r="O3574" t="str">
        <f>"220.7"</f>
        <v>220.7</v>
      </c>
      <c r="P3574" t="s">
        <v>8445</v>
      </c>
      <c r="Q3574" t="b">
        <v>0</v>
      </c>
      <c r="S3574" t="str">
        <f>"9780310234975"</f>
        <v>9780310234975</v>
      </c>
      <c r="T3574" t="str">
        <f>"9780310531845"</f>
        <v>9780310531845</v>
      </c>
      <c r="U3574" t="b">
        <v>0</v>
      </c>
      <c r="W3574" t="b">
        <v>0</v>
      </c>
    </row>
    <row r="3575" spans="1:23" x14ac:dyDescent="0.3">
      <c r="A3575">
        <v>1780577</v>
      </c>
      <c r="B3575">
        <v>56.82</v>
      </c>
      <c r="C3575" t="s">
        <v>907</v>
      </c>
      <c r="D3575" t="s">
        <v>8594</v>
      </c>
      <c r="E3575" t="s">
        <v>49</v>
      </c>
      <c r="F3575" t="s">
        <v>106</v>
      </c>
      <c r="G3575">
        <v>2016</v>
      </c>
      <c r="H3575" t="s">
        <v>5766</v>
      </c>
      <c r="I3575" t="s">
        <v>8595</v>
      </c>
      <c r="K3575" t="s">
        <v>25</v>
      </c>
      <c r="L3575" t="s">
        <v>26</v>
      </c>
      <c r="M3575" t="b">
        <v>1</v>
      </c>
      <c r="N3575" t="s">
        <v>8596</v>
      </c>
      <c r="O3575" t="str">
        <f>"226.6/07"</f>
        <v>226.6/07</v>
      </c>
      <c r="P3575" t="s">
        <v>6606</v>
      </c>
      <c r="Q3575" t="b">
        <v>0</v>
      </c>
      <c r="S3575" t="str">
        <f>"9780310278252"</f>
        <v>9780310278252</v>
      </c>
      <c r="T3575" t="str">
        <f>"9780310530190"</f>
        <v>9780310530190</v>
      </c>
      <c r="U3575" t="b">
        <v>0</v>
      </c>
      <c r="W3575" t="b">
        <v>0</v>
      </c>
    </row>
    <row r="3576" spans="1:23" x14ac:dyDescent="0.3">
      <c r="A3576">
        <v>1780576</v>
      </c>
      <c r="B3576">
        <v>103.47</v>
      </c>
      <c r="C3576" t="s">
        <v>8597</v>
      </c>
      <c r="E3576" t="s">
        <v>49</v>
      </c>
      <c r="F3576" t="s">
        <v>44</v>
      </c>
      <c r="G3576">
        <v>1999</v>
      </c>
      <c r="H3576" t="s">
        <v>7908</v>
      </c>
      <c r="I3576" t="s">
        <v>8598</v>
      </c>
      <c r="J3576" t="s">
        <v>8599</v>
      </c>
      <c r="K3576" t="s">
        <v>25</v>
      </c>
      <c r="L3576" t="s">
        <v>30</v>
      </c>
      <c r="M3576" t="b">
        <v>1</v>
      </c>
      <c r="N3576" t="s">
        <v>864</v>
      </c>
      <c r="O3576" t="str">
        <f>"220.3"</f>
        <v>220.3</v>
      </c>
      <c r="P3576" t="s">
        <v>8600</v>
      </c>
      <c r="Q3576" t="b">
        <v>0</v>
      </c>
      <c r="S3576" t="str">
        <f>"9780310523352"</f>
        <v>9780310523352</v>
      </c>
      <c r="T3576" t="str">
        <f>"9780310530015"</f>
        <v>9780310530015</v>
      </c>
      <c r="U3576" t="b">
        <v>0</v>
      </c>
      <c r="W3576" t="b">
        <v>0</v>
      </c>
    </row>
    <row r="3577" spans="1:23" x14ac:dyDescent="0.3">
      <c r="A3577">
        <v>1780575</v>
      </c>
      <c r="B3577">
        <v>182.82</v>
      </c>
      <c r="C3577" t="s">
        <v>8601</v>
      </c>
      <c r="E3577" t="s">
        <v>49</v>
      </c>
      <c r="F3577" t="s">
        <v>106</v>
      </c>
      <c r="G3577">
        <v>2017</v>
      </c>
      <c r="H3577" t="s">
        <v>1181</v>
      </c>
      <c r="I3577" t="s">
        <v>8602</v>
      </c>
      <c r="K3577" t="s">
        <v>25</v>
      </c>
      <c r="L3577" t="s">
        <v>26</v>
      </c>
      <c r="M3577" t="b">
        <v>1</v>
      </c>
      <c r="N3577" t="s">
        <v>6307</v>
      </c>
      <c r="O3577" t="str">
        <f>"222.32077"</f>
        <v>222.32077</v>
      </c>
      <c r="P3577" t="s">
        <v>6546</v>
      </c>
      <c r="Q3577" t="b">
        <v>0</v>
      </c>
      <c r="S3577" t="str">
        <f>"9780310521754"</f>
        <v>9780310521754</v>
      </c>
      <c r="T3577" t="str">
        <f>"9780310586364"</f>
        <v>9780310586364</v>
      </c>
      <c r="U3577" t="b">
        <v>0</v>
      </c>
      <c r="W3577" t="b">
        <v>0</v>
      </c>
    </row>
    <row r="3578" spans="1:23" x14ac:dyDescent="0.3">
      <c r="A3578">
        <v>1780574</v>
      </c>
      <c r="B3578">
        <v>189.72</v>
      </c>
      <c r="C3578" t="s">
        <v>8603</v>
      </c>
      <c r="E3578" t="s">
        <v>49</v>
      </c>
      <c r="F3578" t="s">
        <v>106</v>
      </c>
      <c r="G3578">
        <v>2018</v>
      </c>
      <c r="H3578" t="s">
        <v>57</v>
      </c>
      <c r="I3578" t="s">
        <v>8604</v>
      </c>
      <c r="K3578" t="s">
        <v>25</v>
      </c>
      <c r="L3578" t="s">
        <v>26</v>
      </c>
      <c r="M3578" t="b">
        <v>1</v>
      </c>
      <c r="N3578" t="s">
        <v>8605</v>
      </c>
      <c r="O3578" t="str">
        <f>"226.3077"</f>
        <v>226.3077</v>
      </c>
      <c r="P3578" t="s">
        <v>6546</v>
      </c>
      <c r="Q3578" t="b">
        <v>0</v>
      </c>
      <c r="S3578" t="str">
        <f>"9780310521877"</f>
        <v>9780310521877</v>
      </c>
      <c r="T3578" t="str">
        <f>"9780310588344"</f>
        <v>9780310588344</v>
      </c>
      <c r="U3578" t="b">
        <v>0</v>
      </c>
      <c r="W3578" t="b">
        <v>0</v>
      </c>
    </row>
    <row r="3579" spans="1:23" x14ac:dyDescent="0.3">
      <c r="A3579">
        <v>1780572</v>
      </c>
      <c r="B3579">
        <v>182.82</v>
      </c>
      <c r="C3579" t="s">
        <v>8606</v>
      </c>
      <c r="E3579" t="s">
        <v>49</v>
      </c>
      <c r="F3579" t="s">
        <v>106</v>
      </c>
      <c r="G3579">
        <v>2018</v>
      </c>
      <c r="H3579" t="s">
        <v>6799</v>
      </c>
      <c r="I3579" t="s">
        <v>8607</v>
      </c>
      <c r="K3579" t="s">
        <v>25</v>
      </c>
      <c r="L3579" t="s">
        <v>26</v>
      </c>
      <c r="M3579" t="b">
        <v>1</v>
      </c>
      <c r="N3579" t="s">
        <v>8608</v>
      </c>
      <c r="O3579" t="str">
        <f>"220.7"</f>
        <v>220.7</v>
      </c>
      <c r="P3579" t="s">
        <v>6546</v>
      </c>
      <c r="Q3579" t="b">
        <v>0</v>
      </c>
      <c r="S3579" t="str">
        <f>"9780310521822"</f>
        <v>9780310521822</v>
      </c>
      <c r="T3579" t="str">
        <f>"9780310588290"</f>
        <v>9780310588290</v>
      </c>
      <c r="U3579" t="b">
        <v>0</v>
      </c>
      <c r="W3579" t="b">
        <v>0</v>
      </c>
    </row>
    <row r="3580" spans="1:23" x14ac:dyDescent="0.3">
      <c r="A3580">
        <v>1780571</v>
      </c>
      <c r="B3580">
        <v>182.82</v>
      </c>
      <c r="C3580" t="s">
        <v>8609</v>
      </c>
      <c r="E3580" t="s">
        <v>49</v>
      </c>
      <c r="F3580" t="s">
        <v>106</v>
      </c>
      <c r="G3580">
        <v>1998</v>
      </c>
      <c r="H3580" t="s">
        <v>1181</v>
      </c>
      <c r="I3580" t="s">
        <v>8610</v>
      </c>
      <c r="K3580" t="s">
        <v>25</v>
      </c>
      <c r="L3580" t="s">
        <v>26</v>
      </c>
      <c r="M3580" t="b">
        <v>1</v>
      </c>
      <c r="N3580" t="s">
        <v>8611</v>
      </c>
      <c r="O3580" t="str">
        <f>"228/.064"</f>
        <v>228/.064</v>
      </c>
      <c r="P3580" t="s">
        <v>6546</v>
      </c>
      <c r="Q3580" t="b">
        <v>0</v>
      </c>
      <c r="S3580" t="str">
        <f>"9780310521709"</f>
        <v>9780310521709</v>
      </c>
      <c r="T3580" t="str">
        <f>"9780310587262"</f>
        <v>9780310587262</v>
      </c>
      <c r="U3580" t="b">
        <v>0</v>
      </c>
      <c r="W3580" t="b">
        <v>0</v>
      </c>
    </row>
    <row r="3581" spans="1:23" x14ac:dyDescent="0.3">
      <c r="A3581">
        <v>1780570</v>
      </c>
      <c r="B3581">
        <v>182.82</v>
      </c>
      <c r="C3581" t="s">
        <v>8612</v>
      </c>
      <c r="E3581" t="s">
        <v>49</v>
      </c>
      <c r="F3581" t="s">
        <v>106</v>
      </c>
      <c r="G3581">
        <v>2017</v>
      </c>
      <c r="H3581" t="s">
        <v>927</v>
      </c>
      <c r="I3581" t="s">
        <v>8613</v>
      </c>
      <c r="K3581" t="s">
        <v>25</v>
      </c>
      <c r="L3581" t="s">
        <v>26</v>
      </c>
      <c r="M3581" t="b">
        <v>1</v>
      </c>
      <c r="N3581" t="s">
        <v>8614</v>
      </c>
      <c r="O3581" t="str">
        <f>"223.1077"</f>
        <v>223.1077</v>
      </c>
      <c r="P3581" t="s">
        <v>6546</v>
      </c>
      <c r="Q3581" t="b">
        <v>0</v>
      </c>
      <c r="S3581" t="str">
        <f>"9780310521938"</f>
        <v>9780310521938</v>
      </c>
      <c r="T3581" t="str">
        <f>"9780310587149"</f>
        <v>9780310587149</v>
      </c>
      <c r="U3581" t="b">
        <v>0</v>
      </c>
      <c r="W3581" t="b">
        <v>0</v>
      </c>
    </row>
    <row r="3582" spans="1:23" x14ac:dyDescent="0.3">
      <c r="A3582">
        <v>1780568</v>
      </c>
      <c r="B3582">
        <v>172.47</v>
      </c>
      <c r="C3582" t="s">
        <v>8615</v>
      </c>
      <c r="E3582" t="s">
        <v>49</v>
      </c>
      <c r="F3582" t="s">
        <v>106</v>
      </c>
      <c r="G3582">
        <v>1988</v>
      </c>
      <c r="H3582" t="s">
        <v>6799</v>
      </c>
      <c r="I3582" t="s">
        <v>8616</v>
      </c>
      <c r="K3582" t="s">
        <v>25</v>
      </c>
      <c r="L3582" t="s">
        <v>26</v>
      </c>
      <c r="M3582" t="b">
        <v>1</v>
      </c>
      <c r="N3582" t="s">
        <v>8608</v>
      </c>
      <c r="O3582" t="str">
        <f>"220.7"</f>
        <v>220.7</v>
      </c>
      <c r="P3582" t="s">
        <v>6546</v>
      </c>
      <c r="Q3582" t="b">
        <v>0</v>
      </c>
      <c r="S3582" t="str">
        <f>"9780310521747"</f>
        <v>9780310521747</v>
      </c>
      <c r="T3582" t="str">
        <f>"9780310588313"</f>
        <v>9780310588313</v>
      </c>
      <c r="U3582" t="b">
        <v>0</v>
      </c>
      <c r="W3582" t="b">
        <v>0</v>
      </c>
    </row>
    <row r="3583" spans="1:23" x14ac:dyDescent="0.3">
      <c r="A3583">
        <v>1780567</v>
      </c>
      <c r="B3583">
        <v>182.82</v>
      </c>
      <c r="C3583" t="s">
        <v>8617</v>
      </c>
      <c r="E3583" t="s">
        <v>49</v>
      </c>
      <c r="F3583" t="s">
        <v>106</v>
      </c>
      <c r="G3583">
        <v>2017</v>
      </c>
      <c r="H3583" t="s">
        <v>927</v>
      </c>
      <c r="I3583" t="s">
        <v>8618</v>
      </c>
      <c r="K3583" t="s">
        <v>25</v>
      </c>
      <c r="L3583" t="s">
        <v>26</v>
      </c>
      <c r="M3583" t="b">
        <v>1</v>
      </c>
      <c r="N3583" t="s">
        <v>8614</v>
      </c>
      <c r="O3583" t="str">
        <f>"223.1/07"</f>
        <v>223.1/07</v>
      </c>
      <c r="P3583" t="s">
        <v>6546</v>
      </c>
      <c r="Q3583" t="b">
        <v>0</v>
      </c>
      <c r="S3583" t="str">
        <f>"9780310521907"</f>
        <v>9780310521907</v>
      </c>
      <c r="T3583" t="str">
        <f>"9780310588269"</f>
        <v>9780310588269</v>
      </c>
      <c r="U3583" t="b">
        <v>0</v>
      </c>
      <c r="W3583" t="b">
        <v>0</v>
      </c>
    </row>
    <row r="3584" spans="1:23" x14ac:dyDescent="0.3">
      <c r="A3584">
        <v>1780565</v>
      </c>
      <c r="B3584">
        <v>182.82</v>
      </c>
      <c r="C3584" t="s">
        <v>8619</v>
      </c>
      <c r="E3584" t="s">
        <v>49</v>
      </c>
      <c r="F3584" t="s">
        <v>106</v>
      </c>
      <c r="G3584">
        <v>2017</v>
      </c>
      <c r="H3584" t="s">
        <v>927</v>
      </c>
      <c r="I3584" t="s">
        <v>8620</v>
      </c>
      <c r="K3584" t="s">
        <v>25</v>
      </c>
      <c r="L3584" t="s">
        <v>26</v>
      </c>
      <c r="M3584" t="b">
        <v>1</v>
      </c>
      <c r="N3584" t="s">
        <v>6465</v>
      </c>
      <c r="O3584" t="str">
        <f>"224/.6077"</f>
        <v>224/.6077</v>
      </c>
      <c r="P3584" t="s">
        <v>6546</v>
      </c>
      <c r="Q3584" t="b">
        <v>0</v>
      </c>
      <c r="S3584" t="str">
        <f>"9780310521679"</f>
        <v>9780310521679</v>
      </c>
      <c r="T3584" t="str">
        <f>"9780310585879"</f>
        <v>9780310585879</v>
      </c>
      <c r="U3584" t="b">
        <v>0</v>
      </c>
      <c r="W3584" t="b">
        <v>0</v>
      </c>
    </row>
    <row r="3585" spans="1:23" x14ac:dyDescent="0.3">
      <c r="A3585">
        <v>1780564</v>
      </c>
      <c r="B3585">
        <v>155.22</v>
      </c>
      <c r="C3585" t="s">
        <v>8621</v>
      </c>
      <c r="E3585" t="s">
        <v>49</v>
      </c>
      <c r="F3585" t="s">
        <v>106</v>
      </c>
      <c r="G3585">
        <v>2015</v>
      </c>
      <c r="H3585" t="s">
        <v>6799</v>
      </c>
      <c r="I3585" t="s">
        <v>6540</v>
      </c>
      <c r="K3585" t="s">
        <v>25</v>
      </c>
      <c r="L3585" t="s">
        <v>26</v>
      </c>
      <c r="M3585" t="b">
        <v>1</v>
      </c>
      <c r="N3585" t="s">
        <v>8518</v>
      </c>
      <c r="O3585" t="str">
        <f>"227.4"</f>
        <v>227.4</v>
      </c>
      <c r="P3585" t="s">
        <v>6546</v>
      </c>
      <c r="Q3585" t="b">
        <v>0</v>
      </c>
      <c r="S3585" t="str">
        <f>"9780310521945"</f>
        <v>9780310521945</v>
      </c>
      <c r="T3585" t="str">
        <f>"9780310586333"</f>
        <v>9780310586333</v>
      </c>
      <c r="U3585" t="b">
        <v>0</v>
      </c>
      <c r="W3585" t="b">
        <v>0</v>
      </c>
    </row>
    <row r="3586" spans="1:23" x14ac:dyDescent="0.3">
      <c r="A3586">
        <v>1780563</v>
      </c>
      <c r="B3586">
        <v>155.22</v>
      </c>
      <c r="C3586" t="s">
        <v>8622</v>
      </c>
      <c r="D3586" t="s">
        <v>2316</v>
      </c>
      <c r="E3586" t="s">
        <v>49</v>
      </c>
      <c r="F3586" t="s">
        <v>106</v>
      </c>
      <c r="G3586">
        <v>2018</v>
      </c>
      <c r="H3586" t="s">
        <v>1181</v>
      </c>
      <c r="I3586" t="s">
        <v>8623</v>
      </c>
      <c r="K3586" t="s">
        <v>25</v>
      </c>
      <c r="L3586" t="s">
        <v>26</v>
      </c>
      <c r="M3586" t="b">
        <v>1</v>
      </c>
      <c r="N3586" t="s">
        <v>8624</v>
      </c>
      <c r="O3586" t="str">
        <f>"227.607"</f>
        <v>227.607</v>
      </c>
      <c r="P3586" t="s">
        <v>6546</v>
      </c>
      <c r="Q3586" t="b">
        <v>0</v>
      </c>
      <c r="S3586" t="str">
        <f>"9780310521853"</f>
        <v>9780310521853</v>
      </c>
      <c r="T3586" t="str">
        <f>"9780310588320"</f>
        <v>9780310588320</v>
      </c>
      <c r="U3586" t="b">
        <v>0</v>
      </c>
      <c r="V3586" t="s">
        <v>940</v>
      </c>
      <c r="W3586" t="b">
        <v>0</v>
      </c>
    </row>
    <row r="3587" spans="1:23" x14ac:dyDescent="0.3">
      <c r="A3587">
        <v>1780562</v>
      </c>
      <c r="B3587">
        <v>155.22</v>
      </c>
      <c r="C3587" t="s">
        <v>8625</v>
      </c>
      <c r="E3587" t="s">
        <v>49</v>
      </c>
      <c r="F3587" t="s">
        <v>106</v>
      </c>
      <c r="G3587">
        <v>2018</v>
      </c>
      <c r="H3587" t="s">
        <v>1181</v>
      </c>
      <c r="I3587" t="s">
        <v>8626</v>
      </c>
      <c r="K3587" t="s">
        <v>25</v>
      </c>
      <c r="L3587" t="s">
        <v>26</v>
      </c>
      <c r="M3587" t="b">
        <v>1</v>
      </c>
      <c r="N3587" t="s">
        <v>6267</v>
      </c>
      <c r="O3587" t="str">
        <f>"224.9/077"</f>
        <v>224.9/077</v>
      </c>
      <c r="P3587" t="s">
        <v>6546</v>
      </c>
      <c r="Q3587" t="b">
        <v>0</v>
      </c>
      <c r="S3587" t="str">
        <f>"9780310521723"</f>
        <v>9780310521723</v>
      </c>
      <c r="T3587" t="str">
        <f>"9780310588382"</f>
        <v>9780310588382</v>
      </c>
      <c r="U3587" t="b">
        <v>0</v>
      </c>
      <c r="W3587" t="b">
        <v>0</v>
      </c>
    </row>
    <row r="3588" spans="1:23" x14ac:dyDescent="0.3">
      <c r="A3588">
        <v>1780561</v>
      </c>
      <c r="B3588">
        <v>172.47</v>
      </c>
      <c r="C3588" t="s">
        <v>8627</v>
      </c>
      <c r="E3588" t="s">
        <v>49</v>
      </c>
      <c r="F3588" t="s">
        <v>106</v>
      </c>
      <c r="G3588">
        <v>1989</v>
      </c>
      <c r="H3588" t="s">
        <v>6799</v>
      </c>
      <c r="I3588" t="s">
        <v>8628</v>
      </c>
      <c r="K3588" t="s">
        <v>25</v>
      </c>
      <c r="L3588" t="s">
        <v>26</v>
      </c>
      <c r="M3588" t="b">
        <v>1</v>
      </c>
      <c r="N3588" t="s">
        <v>8629</v>
      </c>
      <c r="O3588" t="str">
        <f>"220.7"</f>
        <v>220.7</v>
      </c>
      <c r="P3588" t="s">
        <v>6546</v>
      </c>
      <c r="Q3588" t="b">
        <v>0</v>
      </c>
      <c r="S3588" t="str">
        <f>"9780310521969"</f>
        <v>9780310521969</v>
      </c>
      <c r="T3588" t="str">
        <f>"9780310588375"</f>
        <v>9780310588375</v>
      </c>
      <c r="U3588" t="b">
        <v>0</v>
      </c>
      <c r="V3588" t="s">
        <v>6095</v>
      </c>
      <c r="W3588" t="b">
        <v>0</v>
      </c>
    </row>
    <row r="3589" spans="1:23" x14ac:dyDescent="0.3">
      <c r="A3589">
        <v>1780560</v>
      </c>
      <c r="B3589">
        <v>155.22</v>
      </c>
      <c r="C3589" t="s">
        <v>8630</v>
      </c>
      <c r="E3589" t="s">
        <v>49</v>
      </c>
      <c r="F3589" t="s">
        <v>106</v>
      </c>
      <c r="G3589">
        <v>2015</v>
      </c>
      <c r="H3589" t="s">
        <v>1181</v>
      </c>
      <c r="I3589" t="s">
        <v>8631</v>
      </c>
      <c r="K3589" t="s">
        <v>25</v>
      </c>
      <c r="L3589" t="s">
        <v>26</v>
      </c>
      <c r="M3589" t="b">
        <v>1</v>
      </c>
      <c r="N3589" t="s">
        <v>6341</v>
      </c>
      <c r="O3589" t="str">
        <f>"227.92/077"</f>
        <v>227.92/077</v>
      </c>
      <c r="P3589" t="s">
        <v>6546</v>
      </c>
      <c r="Q3589" t="b">
        <v>0</v>
      </c>
      <c r="S3589" t="str">
        <f>"9780310521860"</f>
        <v>9780310521860</v>
      </c>
      <c r="T3589" t="str">
        <f>"9780310588351"</f>
        <v>9780310588351</v>
      </c>
      <c r="U3589" t="b">
        <v>0</v>
      </c>
      <c r="W3589" t="b">
        <v>0</v>
      </c>
    </row>
    <row r="3590" spans="1:23" x14ac:dyDescent="0.3">
      <c r="A3590">
        <v>1780559</v>
      </c>
      <c r="B3590">
        <v>182.82</v>
      </c>
      <c r="C3590" t="s">
        <v>8632</v>
      </c>
      <c r="E3590" t="s">
        <v>49</v>
      </c>
      <c r="F3590" t="s">
        <v>106</v>
      </c>
      <c r="G3590">
        <v>2014</v>
      </c>
      <c r="H3590" t="s">
        <v>6799</v>
      </c>
      <c r="I3590" t="s">
        <v>8633</v>
      </c>
      <c r="K3590" t="s">
        <v>25</v>
      </c>
      <c r="L3590" t="s">
        <v>26</v>
      </c>
      <c r="M3590" t="b">
        <v>1</v>
      </c>
      <c r="N3590" t="s">
        <v>8634</v>
      </c>
      <c r="O3590" t="str">
        <f>"227.5"</f>
        <v>227.5</v>
      </c>
      <c r="P3590" t="s">
        <v>6546</v>
      </c>
      <c r="Q3590" t="b">
        <v>0</v>
      </c>
      <c r="S3590" t="str">
        <f>"9780310521686"</f>
        <v>9780310521686</v>
      </c>
      <c r="T3590" t="str">
        <f>"9780310586340"</f>
        <v>9780310586340</v>
      </c>
      <c r="U3590" t="b">
        <v>0</v>
      </c>
      <c r="W3590" t="b">
        <v>0</v>
      </c>
    </row>
    <row r="3591" spans="1:23" x14ac:dyDescent="0.3">
      <c r="A3591">
        <v>1780558</v>
      </c>
      <c r="B3591">
        <v>182.82</v>
      </c>
      <c r="C3591" t="s">
        <v>8635</v>
      </c>
      <c r="E3591" t="s">
        <v>49</v>
      </c>
      <c r="F3591" t="s">
        <v>106</v>
      </c>
      <c r="G3591">
        <v>2015</v>
      </c>
      <c r="H3591" t="s">
        <v>6356</v>
      </c>
      <c r="I3591" t="s">
        <v>6540</v>
      </c>
      <c r="K3591" t="s">
        <v>25</v>
      </c>
      <c r="L3591" t="s">
        <v>26</v>
      </c>
      <c r="M3591" t="b">
        <v>1</v>
      </c>
      <c r="N3591" t="s">
        <v>8636</v>
      </c>
      <c r="O3591" t="str">
        <f>"222.1"</f>
        <v>222.1</v>
      </c>
      <c r="P3591" t="s">
        <v>8637</v>
      </c>
      <c r="Q3591" t="b">
        <v>0</v>
      </c>
      <c r="S3591" t="str">
        <f>"9780310521839"</f>
        <v>9780310521839</v>
      </c>
      <c r="T3591" t="str">
        <f>"9780310585862"</f>
        <v>9780310585862</v>
      </c>
      <c r="U3591" t="b">
        <v>0</v>
      </c>
      <c r="W3591" t="b">
        <v>0</v>
      </c>
    </row>
    <row r="3592" spans="1:23" x14ac:dyDescent="0.3">
      <c r="A3592">
        <v>1780557</v>
      </c>
      <c r="B3592">
        <v>155.22</v>
      </c>
      <c r="C3592" t="s">
        <v>8638</v>
      </c>
      <c r="E3592" t="s">
        <v>49</v>
      </c>
      <c r="F3592" t="s">
        <v>106</v>
      </c>
      <c r="G3592">
        <v>2014</v>
      </c>
      <c r="H3592" t="s">
        <v>6356</v>
      </c>
      <c r="I3592" t="s">
        <v>8639</v>
      </c>
      <c r="K3592" t="s">
        <v>25</v>
      </c>
      <c r="L3592" t="s">
        <v>26</v>
      </c>
      <c r="M3592" t="b">
        <v>1</v>
      </c>
      <c r="N3592" t="s">
        <v>8636</v>
      </c>
      <c r="O3592" t="str">
        <f>"220.7"</f>
        <v>220.7</v>
      </c>
      <c r="P3592" t="s">
        <v>6546</v>
      </c>
      <c r="Q3592" t="b">
        <v>0</v>
      </c>
      <c r="S3592" t="str">
        <f>"9780310521761"</f>
        <v>9780310521761</v>
      </c>
      <c r="T3592" t="str">
        <f>"9780310585855"</f>
        <v>9780310585855</v>
      </c>
      <c r="U3592" t="b">
        <v>0</v>
      </c>
      <c r="W3592" t="b">
        <v>0</v>
      </c>
    </row>
    <row r="3593" spans="1:23" x14ac:dyDescent="0.3">
      <c r="A3593">
        <v>1780556</v>
      </c>
      <c r="B3593">
        <v>155.22</v>
      </c>
      <c r="C3593" t="s">
        <v>8640</v>
      </c>
      <c r="E3593" t="s">
        <v>49</v>
      </c>
      <c r="F3593" t="s">
        <v>106</v>
      </c>
      <c r="G3593">
        <v>2014</v>
      </c>
      <c r="H3593" t="s">
        <v>1181</v>
      </c>
      <c r="I3593" t="s">
        <v>8641</v>
      </c>
      <c r="K3593" t="s">
        <v>25</v>
      </c>
      <c r="L3593" t="s">
        <v>26</v>
      </c>
      <c r="M3593" t="b">
        <v>1</v>
      </c>
      <c r="N3593" t="s">
        <v>6287</v>
      </c>
      <c r="O3593" t="str">
        <f>"227.9/077"</f>
        <v>227.9/077</v>
      </c>
      <c r="P3593" t="s">
        <v>6546</v>
      </c>
      <c r="Q3593" t="b">
        <v>0</v>
      </c>
      <c r="S3593" t="str">
        <f>"9780310521693"</f>
        <v>9780310521693</v>
      </c>
      <c r="T3593" t="str">
        <f>"9780310586326"</f>
        <v>9780310586326</v>
      </c>
      <c r="U3593" t="b">
        <v>0</v>
      </c>
      <c r="W3593" t="b">
        <v>0</v>
      </c>
    </row>
    <row r="3594" spans="1:23" x14ac:dyDescent="0.3">
      <c r="A3594">
        <v>1780555</v>
      </c>
      <c r="B3594">
        <v>155.22</v>
      </c>
      <c r="C3594" t="s">
        <v>8642</v>
      </c>
      <c r="E3594" t="s">
        <v>49</v>
      </c>
      <c r="F3594" t="s">
        <v>106</v>
      </c>
      <c r="G3594">
        <v>2015</v>
      </c>
      <c r="H3594" t="s">
        <v>98</v>
      </c>
      <c r="I3594" t="s">
        <v>6540</v>
      </c>
      <c r="K3594" t="s">
        <v>25</v>
      </c>
      <c r="L3594" t="s">
        <v>30</v>
      </c>
      <c r="M3594" t="b">
        <v>1</v>
      </c>
      <c r="N3594" t="s">
        <v>8643</v>
      </c>
      <c r="O3594" t="str">
        <f>"227.9"</f>
        <v>227.9</v>
      </c>
      <c r="P3594" t="s">
        <v>6546</v>
      </c>
      <c r="Q3594" t="b">
        <v>0</v>
      </c>
      <c r="S3594" t="str">
        <f>"9780310521792"</f>
        <v>9780310521792</v>
      </c>
      <c r="T3594" t="str">
        <f>"9780310585954"</f>
        <v>9780310585954</v>
      </c>
      <c r="U3594" t="b">
        <v>0</v>
      </c>
      <c r="W3594" t="b">
        <v>0</v>
      </c>
    </row>
    <row r="3595" spans="1:23" x14ac:dyDescent="0.3">
      <c r="A3595">
        <v>1780554</v>
      </c>
      <c r="B3595">
        <v>35.5</v>
      </c>
      <c r="C3595" t="s">
        <v>8644</v>
      </c>
      <c r="E3595" t="s">
        <v>49</v>
      </c>
      <c r="F3595" t="s">
        <v>106</v>
      </c>
      <c r="G3595">
        <v>2017</v>
      </c>
      <c r="H3595" t="s">
        <v>76</v>
      </c>
      <c r="I3595" t="s">
        <v>8645</v>
      </c>
      <c r="J3595" t="s">
        <v>8646</v>
      </c>
      <c r="K3595" t="s">
        <v>25</v>
      </c>
      <c r="L3595" t="s">
        <v>26</v>
      </c>
      <c r="M3595" t="b">
        <v>1</v>
      </c>
      <c r="N3595" t="s">
        <v>7655</v>
      </c>
      <c r="O3595" t="str">
        <f>"615.8/52"</f>
        <v>615.8/52</v>
      </c>
      <c r="P3595" t="s">
        <v>7656</v>
      </c>
      <c r="Q3595" t="b">
        <v>0</v>
      </c>
      <c r="T3595" t="str">
        <f>"9780310537373"</f>
        <v>9780310537373</v>
      </c>
      <c r="U3595" t="b">
        <v>0</v>
      </c>
      <c r="W3595" t="b">
        <v>0</v>
      </c>
    </row>
    <row r="3596" spans="1:23" x14ac:dyDescent="0.3">
      <c r="A3596">
        <v>1780553</v>
      </c>
      <c r="B3596">
        <v>35.5</v>
      </c>
      <c r="C3596" t="s">
        <v>8647</v>
      </c>
      <c r="E3596" t="s">
        <v>49</v>
      </c>
      <c r="F3596" t="s">
        <v>106</v>
      </c>
      <c r="G3596">
        <v>2017</v>
      </c>
      <c r="H3596" t="s">
        <v>76</v>
      </c>
      <c r="K3596" t="s">
        <v>25</v>
      </c>
      <c r="L3596" t="s">
        <v>26</v>
      </c>
      <c r="M3596" t="b">
        <v>1</v>
      </c>
      <c r="N3596" t="s">
        <v>7655</v>
      </c>
      <c r="P3596" t="s">
        <v>7656</v>
      </c>
      <c r="Q3596" t="b">
        <v>0</v>
      </c>
      <c r="T3596" t="str">
        <f>"9780310533375"</f>
        <v>9780310533375</v>
      </c>
      <c r="U3596" t="b">
        <v>0</v>
      </c>
      <c r="W3596" t="b">
        <v>0</v>
      </c>
    </row>
    <row r="3597" spans="1:23" x14ac:dyDescent="0.3">
      <c r="A3597">
        <v>1780552</v>
      </c>
      <c r="B3597">
        <v>266.48</v>
      </c>
      <c r="C3597" t="s">
        <v>8648</v>
      </c>
      <c r="D3597" t="s">
        <v>8649</v>
      </c>
      <c r="E3597" t="s">
        <v>49</v>
      </c>
      <c r="F3597" t="s">
        <v>106</v>
      </c>
      <c r="G3597">
        <v>2016</v>
      </c>
      <c r="H3597" t="s">
        <v>6799</v>
      </c>
      <c r="I3597" t="s">
        <v>8650</v>
      </c>
      <c r="K3597" t="s">
        <v>25</v>
      </c>
      <c r="L3597" t="s">
        <v>30</v>
      </c>
      <c r="M3597" t="b">
        <v>1</v>
      </c>
      <c r="N3597" t="s">
        <v>8651</v>
      </c>
      <c r="O3597" t="str">
        <f>"226.3/077"</f>
        <v>226.3/077</v>
      </c>
      <c r="Q3597" t="b">
        <v>0</v>
      </c>
      <c r="T3597" t="str">
        <f>"9780310536345"</f>
        <v>9780310536345</v>
      </c>
      <c r="U3597" t="b">
        <v>0</v>
      </c>
      <c r="W3597" t="b">
        <v>0</v>
      </c>
    </row>
    <row r="3598" spans="1:23" x14ac:dyDescent="0.3">
      <c r="A3598">
        <v>1780551</v>
      </c>
      <c r="B3598">
        <v>230.94</v>
      </c>
      <c r="C3598" t="s">
        <v>8652</v>
      </c>
      <c r="D3598" t="s">
        <v>8653</v>
      </c>
      <c r="E3598" t="s">
        <v>49</v>
      </c>
      <c r="F3598" t="s">
        <v>106</v>
      </c>
      <c r="G3598">
        <v>2017</v>
      </c>
      <c r="H3598" t="s">
        <v>6799</v>
      </c>
      <c r="K3598" t="s">
        <v>25</v>
      </c>
      <c r="L3598" t="s">
        <v>30</v>
      </c>
      <c r="M3598" t="b">
        <v>1</v>
      </c>
      <c r="N3598" t="s">
        <v>8654</v>
      </c>
      <c r="Q3598" t="b">
        <v>0</v>
      </c>
      <c r="T3598" t="str">
        <f>"9780310535393"</f>
        <v>9780310535393</v>
      </c>
      <c r="U3598" t="b">
        <v>0</v>
      </c>
      <c r="W3598" t="b">
        <v>0</v>
      </c>
    </row>
    <row r="3599" spans="1:23" x14ac:dyDescent="0.3">
      <c r="A3599">
        <v>1780550</v>
      </c>
      <c r="B3599">
        <v>28.39</v>
      </c>
      <c r="C3599" t="s">
        <v>8655</v>
      </c>
      <c r="D3599" t="s">
        <v>8656</v>
      </c>
      <c r="E3599" t="s">
        <v>49</v>
      </c>
      <c r="F3599" t="s">
        <v>106</v>
      </c>
      <c r="G3599">
        <v>2017</v>
      </c>
      <c r="H3599" t="s">
        <v>76</v>
      </c>
      <c r="K3599" t="s">
        <v>25</v>
      </c>
      <c r="L3599" t="s">
        <v>26</v>
      </c>
      <c r="M3599" t="b">
        <v>1</v>
      </c>
      <c r="N3599" t="s">
        <v>7655</v>
      </c>
      <c r="P3599" t="s">
        <v>7656</v>
      </c>
      <c r="Q3599" t="b">
        <v>0</v>
      </c>
      <c r="T3599" t="str">
        <f>"9780310533306"</f>
        <v>9780310533306</v>
      </c>
      <c r="U3599" t="b">
        <v>0</v>
      </c>
      <c r="W3599" t="b">
        <v>0</v>
      </c>
    </row>
    <row r="3600" spans="1:23" x14ac:dyDescent="0.3">
      <c r="A3600">
        <v>1780549</v>
      </c>
      <c r="B3600">
        <v>28.39</v>
      </c>
      <c r="C3600" t="s">
        <v>8657</v>
      </c>
      <c r="D3600" t="s">
        <v>8658</v>
      </c>
      <c r="E3600" t="s">
        <v>49</v>
      </c>
      <c r="F3600" t="s">
        <v>106</v>
      </c>
      <c r="G3600">
        <v>2017</v>
      </c>
      <c r="H3600" t="s">
        <v>6539</v>
      </c>
      <c r="I3600" t="s">
        <v>6896</v>
      </c>
      <c r="J3600" t="s">
        <v>8659</v>
      </c>
      <c r="K3600" t="s">
        <v>25</v>
      </c>
      <c r="L3600" t="s">
        <v>26</v>
      </c>
      <c r="M3600" t="b">
        <v>1</v>
      </c>
      <c r="N3600" t="s">
        <v>7655</v>
      </c>
      <c r="O3600" t="str">
        <f>"231/.6"</f>
        <v>231/.6</v>
      </c>
      <c r="P3600" t="s">
        <v>7656</v>
      </c>
      <c r="Q3600" t="b">
        <v>0</v>
      </c>
      <c r="T3600" t="str">
        <f>"9780310537397"</f>
        <v>9780310537397</v>
      </c>
      <c r="U3600" t="b">
        <v>0</v>
      </c>
      <c r="W3600" t="b">
        <v>0</v>
      </c>
    </row>
    <row r="3601" spans="1:23" x14ac:dyDescent="0.3">
      <c r="A3601">
        <v>1780548</v>
      </c>
      <c r="B3601">
        <v>28.39</v>
      </c>
      <c r="C3601" t="s">
        <v>8660</v>
      </c>
      <c r="D3601" t="s">
        <v>8661</v>
      </c>
      <c r="E3601" t="s">
        <v>49</v>
      </c>
      <c r="F3601" t="s">
        <v>106</v>
      </c>
      <c r="G3601">
        <v>2017</v>
      </c>
      <c r="H3601" t="s">
        <v>76</v>
      </c>
      <c r="I3601" t="s">
        <v>8662</v>
      </c>
      <c r="J3601" t="s">
        <v>895</v>
      </c>
      <c r="K3601" t="s">
        <v>25</v>
      </c>
      <c r="L3601" t="s">
        <v>26</v>
      </c>
      <c r="M3601" t="b">
        <v>1</v>
      </c>
      <c r="N3601" t="s">
        <v>7655</v>
      </c>
      <c r="O3601" t="str">
        <f>"220.92"</f>
        <v>220.92</v>
      </c>
      <c r="P3601" t="s">
        <v>7656</v>
      </c>
      <c r="Q3601" t="b">
        <v>0</v>
      </c>
      <c r="T3601" t="str">
        <f>"9780310532958"</f>
        <v>9780310532958</v>
      </c>
      <c r="U3601" t="b">
        <v>0</v>
      </c>
      <c r="W3601" t="b">
        <v>0</v>
      </c>
    </row>
    <row r="3602" spans="1:23" x14ac:dyDescent="0.3">
      <c r="A3602">
        <v>1780547</v>
      </c>
      <c r="B3602">
        <v>86.22</v>
      </c>
      <c r="C3602" t="s">
        <v>8663</v>
      </c>
      <c r="E3602" t="s">
        <v>23</v>
      </c>
      <c r="F3602" t="s">
        <v>44</v>
      </c>
      <c r="G3602">
        <v>2005</v>
      </c>
      <c r="H3602" t="s">
        <v>3415</v>
      </c>
      <c r="I3602" t="s">
        <v>8664</v>
      </c>
      <c r="J3602" t="s">
        <v>8665</v>
      </c>
      <c r="K3602" t="s">
        <v>25</v>
      </c>
      <c r="L3602" t="s">
        <v>30</v>
      </c>
      <c r="M3602" t="b">
        <v>1</v>
      </c>
      <c r="N3602" t="s">
        <v>7251</v>
      </c>
      <c r="O3602" t="str">
        <f>"220.92"</f>
        <v>220.92</v>
      </c>
      <c r="Q3602" t="b">
        <v>0</v>
      </c>
      <c r="S3602" t="str">
        <f>"9780310605881"</f>
        <v>9780310605881</v>
      </c>
      <c r="T3602" t="str">
        <f>"9780310531098"</f>
        <v>9780310531098</v>
      </c>
      <c r="U3602" t="b">
        <v>0</v>
      </c>
      <c r="W3602" t="b">
        <v>0</v>
      </c>
    </row>
    <row r="3603" spans="1:23" x14ac:dyDescent="0.3">
      <c r="A3603">
        <v>1780546</v>
      </c>
      <c r="B3603">
        <v>333.99</v>
      </c>
      <c r="C3603" t="s">
        <v>8666</v>
      </c>
      <c r="D3603" t="s">
        <v>8667</v>
      </c>
      <c r="E3603" t="s">
        <v>49</v>
      </c>
      <c r="F3603" t="s">
        <v>106</v>
      </c>
      <c r="G3603">
        <v>2016</v>
      </c>
      <c r="H3603" t="s">
        <v>6799</v>
      </c>
      <c r="K3603" t="s">
        <v>25</v>
      </c>
      <c r="L3603" t="s">
        <v>30</v>
      </c>
      <c r="M3603" t="b">
        <v>1</v>
      </c>
      <c r="N3603" t="s">
        <v>8668</v>
      </c>
      <c r="Q3603" t="b">
        <v>0</v>
      </c>
      <c r="T3603" t="str">
        <f>"9780310534495"</f>
        <v>9780310534495</v>
      </c>
      <c r="U3603" t="b">
        <v>0</v>
      </c>
      <c r="W3603" t="b">
        <v>0</v>
      </c>
    </row>
    <row r="3604" spans="1:23" x14ac:dyDescent="0.3">
      <c r="A3604">
        <v>1780545</v>
      </c>
      <c r="B3604">
        <v>58.62</v>
      </c>
      <c r="C3604" t="s">
        <v>8669</v>
      </c>
      <c r="D3604" t="s">
        <v>8670</v>
      </c>
      <c r="E3604" t="s">
        <v>49</v>
      </c>
      <c r="F3604" t="s">
        <v>106</v>
      </c>
      <c r="G3604">
        <v>2016</v>
      </c>
      <c r="H3604" t="s">
        <v>55</v>
      </c>
      <c r="I3604" t="s">
        <v>8671</v>
      </c>
      <c r="J3604" t="s">
        <v>8672</v>
      </c>
      <c r="K3604" t="s">
        <v>25</v>
      </c>
      <c r="L3604" t="s">
        <v>26</v>
      </c>
      <c r="M3604" t="b">
        <v>1</v>
      </c>
      <c r="N3604" t="s">
        <v>8673</v>
      </c>
      <c r="O3604" t="str">
        <f>"220.6/6"</f>
        <v>220.6/6</v>
      </c>
      <c r="Q3604" t="b">
        <v>0</v>
      </c>
      <c r="S3604" t="str">
        <f>"9780310390213"</f>
        <v>9780310390213</v>
      </c>
      <c r="T3604" t="str">
        <f>"9780310536338"</f>
        <v>9780310536338</v>
      </c>
      <c r="U3604" t="b">
        <v>0</v>
      </c>
      <c r="W3604" t="b">
        <v>0</v>
      </c>
    </row>
    <row r="3605" spans="1:23" x14ac:dyDescent="0.3">
      <c r="A3605">
        <v>1780544</v>
      </c>
      <c r="B3605">
        <v>137.97</v>
      </c>
      <c r="C3605" t="s">
        <v>8674</v>
      </c>
      <c r="D3605" t="s">
        <v>8675</v>
      </c>
      <c r="E3605" t="s">
        <v>49</v>
      </c>
      <c r="F3605" t="s">
        <v>106</v>
      </c>
      <c r="G3605">
        <v>1981</v>
      </c>
      <c r="H3605" t="s">
        <v>57</v>
      </c>
      <c r="I3605" t="s">
        <v>8676</v>
      </c>
      <c r="J3605" t="s">
        <v>8677</v>
      </c>
      <c r="K3605" t="s">
        <v>25</v>
      </c>
      <c r="L3605" t="s">
        <v>26</v>
      </c>
      <c r="M3605" t="b">
        <v>1</v>
      </c>
      <c r="N3605" t="s">
        <v>8678</v>
      </c>
      <c r="O3605" t="str">
        <f>"232.9/01"</f>
        <v>232.9/01</v>
      </c>
      <c r="Q3605" t="b">
        <v>0</v>
      </c>
      <c r="S3605" t="str">
        <f>"9780310309406"</f>
        <v>9780310309406</v>
      </c>
      <c r="T3605" t="str">
        <f>"9780310531043"</f>
        <v>9780310531043</v>
      </c>
      <c r="U3605" t="b">
        <v>0</v>
      </c>
      <c r="W3605" t="b">
        <v>0</v>
      </c>
    </row>
    <row r="3606" spans="1:23" x14ac:dyDescent="0.3">
      <c r="A3606">
        <v>1780543</v>
      </c>
      <c r="B3606">
        <v>62.07</v>
      </c>
      <c r="C3606" t="s">
        <v>8679</v>
      </c>
      <c r="D3606" t="s">
        <v>8680</v>
      </c>
      <c r="E3606" t="s">
        <v>49</v>
      </c>
      <c r="F3606" t="s">
        <v>106</v>
      </c>
      <c r="G3606">
        <v>2017</v>
      </c>
      <c r="H3606" t="s">
        <v>76</v>
      </c>
      <c r="I3606" t="s">
        <v>8681</v>
      </c>
      <c r="J3606" t="s">
        <v>8682</v>
      </c>
      <c r="K3606" t="s">
        <v>25</v>
      </c>
      <c r="L3606" t="s">
        <v>26</v>
      </c>
      <c r="M3606" t="b">
        <v>1</v>
      </c>
      <c r="N3606" t="s">
        <v>6507</v>
      </c>
      <c r="O3606" t="str">
        <f>"223.506"</f>
        <v>223.506</v>
      </c>
      <c r="Q3606" t="b">
        <v>0</v>
      </c>
      <c r="S3606" t="str">
        <f>"9780310284642"</f>
        <v>9780310284642</v>
      </c>
      <c r="T3606" t="str">
        <f>"9780310535096"</f>
        <v>9780310535096</v>
      </c>
      <c r="U3606" t="b">
        <v>0</v>
      </c>
      <c r="W3606" t="b">
        <v>0</v>
      </c>
    </row>
    <row r="3607" spans="1:23" x14ac:dyDescent="0.3">
      <c r="A3607">
        <v>1780542</v>
      </c>
      <c r="B3607">
        <v>58.62</v>
      </c>
      <c r="C3607" t="s">
        <v>8683</v>
      </c>
      <c r="D3607" t="s">
        <v>8684</v>
      </c>
      <c r="E3607" t="s">
        <v>49</v>
      </c>
      <c r="F3607" t="s">
        <v>44</v>
      </c>
      <c r="G3607">
        <v>2016</v>
      </c>
      <c r="H3607" t="s">
        <v>6490</v>
      </c>
      <c r="I3607" t="s">
        <v>8685</v>
      </c>
      <c r="J3607" t="s">
        <v>8686</v>
      </c>
      <c r="K3607" t="s">
        <v>25</v>
      </c>
      <c r="L3607" t="s">
        <v>26</v>
      </c>
      <c r="M3607" t="b">
        <v>1</v>
      </c>
      <c r="N3607" t="s">
        <v>8687</v>
      </c>
      <c r="O3607" t="str">
        <f>"280/.042"</f>
        <v>280/.042</v>
      </c>
      <c r="Q3607" t="b">
        <v>0</v>
      </c>
      <c r="S3607" t="str">
        <f>"9780310527930"</f>
        <v>9780310527930</v>
      </c>
      <c r="T3607" t="str">
        <f>"9780310527947"</f>
        <v>9780310527947</v>
      </c>
      <c r="U3607" t="b">
        <v>0</v>
      </c>
      <c r="W3607" t="b">
        <v>0</v>
      </c>
    </row>
    <row r="3608" spans="1:23" x14ac:dyDescent="0.3">
      <c r="A3608">
        <v>1780541</v>
      </c>
      <c r="B3608">
        <v>103.47</v>
      </c>
      <c r="C3608" t="s">
        <v>8688</v>
      </c>
      <c r="D3608" t="s">
        <v>6351</v>
      </c>
      <c r="E3608" t="s">
        <v>49</v>
      </c>
      <c r="F3608" t="s">
        <v>106</v>
      </c>
      <c r="G3608">
        <v>2016</v>
      </c>
      <c r="H3608" t="s">
        <v>115</v>
      </c>
      <c r="I3608" t="s">
        <v>8689</v>
      </c>
      <c r="J3608" t="s">
        <v>8690</v>
      </c>
      <c r="K3608" t="s">
        <v>25</v>
      </c>
      <c r="L3608" t="s">
        <v>26</v>
      </c>
      <c r="M3608" t="b">
        <v>1</v>
      </c>
      <c r="N3608" t="s">
        <v>6354</v>
      </c>
      <c r="O3608" t="str">
        <f>"230"</f>
        <v>230</v>
      </c>
      <c r="P3608" t="s">
        <v>6578</v>
      </c>
      <c r="Q3608" t="b">
        <v>0</v>
      </c>
      <c r="S3608" t="str">
        <f>"9780310527763"</f>
        <v>9780310527763</v>
      </c>
      <c r="T3608" t="str">
        <f>"9780310527770"</f>
        <v>9780310527770</v>
      </c>
      <c r="U3608" t="b">
        <v>0</v>
      </c>
      <c r="W3608" t="b">
        <v>0</v>
      </c>
    </row>
    <row r="3609" spans="1:23" x14ac:dyDescent="0.3">
      <c r="A3609">
        <v>1780540</v>
      </c>
      <c r="B3609">
        <v>62.07</v>
      </c>
      <c r="C3609" t="s">
        <v>8691</v>
      </c>
      <c r="D3609" t="s">
        <v>3161</v>
      </c>
      <c r="E3609" t="s">
        <v>49</v>
      </c>
      <c r="F3609" t="s">
        <v>44</v>
      </c>
      <c r="G3609">
        <v>2017</v>
      </c>
      <c r="H3609" t="s">
        <v>70</v>
      </c>
      <c r="I3609" t="s">
        <v>6905</v>
      </c>
      <c r="J3609" t="s">
        <v>8692</v>
      </c>
      <c r="K3609" t="s">
        <v>25</v>
      </c>
      <c r="L3609" t="s">
        <v>26</v>
      </c>
      <c r="M3609" t="b">
        <v>1</v>
      </c>
      <c r="N3609" t="s">
        <v>2911</v>
      </c>
      <c r="O3609" t="str">
        <f>"239"</f>
        <v>239</v>
      </c>
      <c r="Q3609" t="b">
        <v>0</v>
      </c>
      <c r="S3609" t="str">
        <f>"9780310525042"</f>
        <v>9780310525042</v>
      </c>
      <c r="T3609" t="str">
        <f>"9780310525059"</f>
        <v>9780310525059</v>
      </c>
      <c r="U3609" t="b">
        <v>0</v>
      </c>
      <c r="W3609" t="b">
        <v>0</v>
      </c>
    </row>
    <row r="3610" spans="1:23" x14ac:dyDescent="0.3">
      <c r="A3610">
        <v>1780539</v>
      </c>
      <c r="B3610">
        <v>86.22</v>
      </c>
      <c r="C3610" t="s">
        <v>8693</v>
      </c>
      <c r="E3610" t="s">
        <v>49</v>
      </c>
      <c r="F3610" t="s">
        <v>106</v>
      </c>
      <c r="G3610">
        <v>2016</v>
      </c>
      <c r="H3610" t="s">
        <v>115</v>
      </c>
      <c r="I3610" t="s">
        <v>8694</v>
      </c>
      <c r="J3610" t="s">
        <v>8695</v>
      </c>
      <c r="K3610" t="s">
        <v>25</v>
      </c>
      <c r="L3610" t="s">
        <v>26</v>
      </c>
      <c r="M3610" t="b">
        <v>1</v>
      </c>
      <c r="N3610" t="s">
        <v>8696</v>
      </c>
      <c r="O3610" t="str">
        <f>"231/.044"</f>
        <v>231/.044</v>
      </c>
      <c r="P3610" t="s">
        <v>8697</v>
      </c>
      <c r="Q3610" t="b">
        <v>0</v>
      </c>
      <c r="S3610" t="str">
        <f>"9780310491491"</f>
        <v>9780310491491</v>
      </c>
      <c r="T3610" t="str">
        <f>"9780310491507"</f>
        <v>9780310491507</v>
      </c>
      <c r="U3610" t="b">
        <v>0</v>
      </c>
      <c r="W3610" t="b">
        <v>0</v>
      </c>
    </row>
    <row r="3611" spans="1:23" x14ac:dyDescent="0.3">
      <c r="A3611">
        <v>1780538</v>
      </c>
      <c r="B3611">
        <v>172.47</v>
      </c>
      <c r="C3611" t="s">
        <v>8698</v>
      </c>
      <c r="E3611" t="s">
        <v>49</v>
      </c>
      <c r="F3611" t="s">
        <v>106</v>
      </c>
      <c r="G3611">
        <v>2017</v>
      </c>
      <c r="H3611" t="s">
        <v>1181</v>
      </c>
      <c r="I3611" t="s">
        <v>8699</v>
      </c>
      <c r="K3611" t="s">
        <v>25</v>
      </c>
      <c r="L3611" t="s">
        <v>26</v>
      </c>
      <c r="M3611" t="b">
        <v>1</v>
      </c>
      <c r="N3611" t="s">
        <v>8611</v>
      </c>
      <c r="O3611" t="str">
        <f>"220.77"</f>
        <v>220.77</v>
      </c>
      <c r="P3611" t="s">
        <v>6546</v>
      </c>
      <c r="Q3611" t="b">
        <v>0</v>
      </c>
      <c r="S3611" t="str">
        <f>"9780310522263"</f>
        <v>9780310522263</v>
      </c>
      <c r="T3611" t="str">
        <f>"9780310588276"</f>
        <v>9780310588276</v>
      </c>
      <c r="U3611" t="b">
        <v>0</v>
      </c>
      <c r="W3611" t="b">
        <v>0</v>
      </c>
    </row>
    <row r="3612" spans="1:23" x14ac:dyDescent="0.3">
      <c r="A3612">
        <v>1780537</v>
      </c>
      <c r="B3612">
        <v>189.72</v>
      </c>
      <c r="C3612" t="s">
        <v>8700</v>
      </c>
      <c r="E3612" t="s">
        <v>49</v>
      </c>
      <c r="F3612" t="s">
        <v>106</v>
      </c>
      <c r="G3612">
        <v>2017</v>
      </c>
      <c r="H3612" t="s">
        <v>6799</v>
      </c>
      <c r="I3612" t="s">
        <v>8701</v>
      </c>
      <c r="K3612" t="s">
        <v>25</v>
      </c>
      <c r="L3612" t="s">
        <v>26</v>
      </c>
      <c r="M3612" t="b">
        <v>1</v>
      </c>
      <c r="N3612" t="s">
        <v>44</v>
      </c>
      <c r="O3612" t="str">
        <f>"227.83077"</f>
        <v>227.83077</v>
      </c>
      <c r="P3612" t="s">
        <v>6546</v>
      </c>
      <c r="Q3612" t="b">
        <v>0</v>
      </c>
      <c r="S3612" t="str">
        <f>"9780310522089"</f>
        <v>9780310522089</v>
      </c>
      <c r="T3612" t="str">
        <f>"9780310586005"</f>
        <v>9780310586005</v>
      </c>
      <c r="U3612" t="b">
        <v>0</v>
      </c>
      <c r="W3612" t="b">
        <v>0</v>
      </c>
    </row>
    <row r="3613" spans="1:23" x14ac:dyDescent="0.3">
      <c r="A3613">
        <v>1780536</v>
      </c>
      <c r="B3613">
        <v>51.72</v>
      </c>
      <c r="C3613" t="s">
        <v>8702</v>
      </c>
      <c r="D3613" t="s">
        <v>8703</v>
      </c>
      <c r="E3613" t="s">
        <v>23</v>
      </c>
      <c r="F3613" t="s">
        <v>106</v>
      </c>
      <c r="G3613">
        <v>1982</v>
      </c>
      <c r="H3613" t="s">
        <v>70</v>
      </c>
      <c r="I3613" t="s">
        <v>8704</v>
      </c>
      <c r="J3613" t="s">
        <v>1309</v>
      </c>
      <c r="K3613" t="s">
        <v>25</v>
      </c>
      <c r="L3613" t="s">
        <v>26</v>
      </c>
      <c r="M3613" t="b">
        <v>1</v>
      </c>
      <c r="N3613" t="s">
        <v>8705</v>
      </c>
      <c r="O3613" t="str">
        <f>"239"</f>
        <v>239</v>
      </c>
      <c r="Q3613" t="b">
        <v>0</v>
      </c>
      <c r="S3613" t="str">
        <f>"9780310449119"</f>
        <v>9780310449119</v>
      </c>
      <c r="T3613" t="str">
        <f>"9780310531074"</f>
        <v>9780310531074</v>
      </c>
      <c r="U3613" t="b">
        <v>0</v>
      </c>
      <c r="W3613" t="b">
        <v>0</v>
      </c>
    </row>
    <row r="3614" spans="1:23" x14ac:dyDescent="0.3">
      <c r="A3614">
        <v>1780535</v>
      </c>
      <c r="B3614">
        <v>120.72</v>
      </c>
      <c r="C3614" t="s">
        <v>8706</v>
      </c>
      <c r="D3614" t="s">
        <v>3848</v>
      </c>
      <c r="E3614" t="s">
        <v>23</v>
      </c>
      <c r="F3614" t="s">
        <v>106</v>
      </c>
      <c r="G3614">
        <v>2016</v>
      </c>
      <c r="H3614" t="s">
        <v>8707</v>
      </c>
      <c r="K3614" t="s">
        <v>25</v>
      </c>
      <c r="L3614" t="s">
        <v>26</v>
      </c>
      <c r="M3614" t="b">
        <v>1</v>
      </c>
      <c r="N3614" t="s">
        <v>8708</v>
      </c>
      <c r="Q3614" t="b">
        <v>0</v>
      </c>
      <c r="S3614" t="str">
        <f>"9780310527909"</f>
        <v>9780310527909</v>
      </c>
      <c r="T3614" t="str">
        <f>"9780310527916"</f>
        <v>9780310527916</v>
      </c>
      <c r="U3614" t="b">
        <v>0</v>
      </c>
      <c r="W3614" t="b">
        <v>0</v>
      </c>
    </row>
    <row r="3615" spans="1:23" x14ac:dyDescent="0.3">
      <c r="A3615">
        <v>1780534</v>
      </c>
      <c r="B3615">
        <v>55.17</v>
      </c>
      <c r="C3615" t="s">
        <v>8709</v>
      </c>
      <c r="D3615" t="s">
        <v>8710</v>
      </c>
      <c r="E3615" t="s">
        <v>23</v>
      </c>
      <c r="F3615" t="s">
        <v>106</v>
      </c>
      <c r="G3615">
        <v>2016</v>
      </c>
      <c r="H3615" t="s">
        <v>1261</v>
      </c>
      <c r="K3615" t="s">
        <v>25</v>
      </c>
      <c r="L3615" t="s">
        <v>26</v>
      </c>
      <c r="M3615" t="b">
        <v>1</v>
      </c>
      <c r="N3615" t="s">
        <v>1041</v>
      </c>
      <c r="Q3615" t="b">
        <v>0</v>
      </c>
      <c r="S3615" t="str">
        <f>"9780310522591"</f>
        <v>9780310522591</v>
      </c>
      <c r="T3615" t="str">
        <f>"9780310522607"</f>
        <v>9780310522607</v>
      </c>
      <c r="U3615" t="b">
        <v>0</v>
      </c>
      <c r="W3615" t="b">
        <v>0</v>
      </c>
    </row>
    <row r="3616" spans="1:23" x14ac:dyDescent="0.3">
      <c r="A3616">
        <v>1780533</v>
      </c>
      <c r="B3616">
        <v>65.52</v>
      </c>
      <c r="C3616" t="s">
        <v>8711</v>
      </c>
      <c r="D3616" t="s">
        <v>8712</v>
      </c>
      <c r="E3616" t="s">
        <v>49</v>
      </c>
      <c r="F3616" t="s">
        <v>106</v>
      </c>
      <c r="G3616">
        <v>2016</v>
      </c>
      <c r="H3616" t="s">
        <v>893</v>
      </c>
      <c r="I3616" t="s">
        <v>894</v>
      </c>
      <c r="J3616" t="s">
        <v>8713</v>
      </c>
      <c r="K3616" t="s">
        <v>25</v>
      </c>
      <c r="L3616" t="s">
        <v>26</v>
      </c>
      <c r="M3616" t="b">
        <v>1</v>
      </c>
      <c r="N3616" t="s">
        <v>6325</v>
      </c>
      <c r="O3616" t="str">
        <f>"487/.4"</f>
        <v>487/.4</v>
      </c>
      <c r="Q3616" t="b">
        <v>0</v>
      </c>
      <c r="S3616" t="str">
        <f>"9780310521341"</f>
        <v>9780310521341</v>
      </c>
      <c r="T3616" t="str">
        <f>"9780310521358"</f>
        <v>9780310521358</v>
      </c>
      <c r="U3616" t="b">
        <v>0</v>
      </c>
      <c r="W3616" t="b">
        <v>0</v>
      </c>
    </row>
    <row r="3617" spans="1:23" x14ac:dyDescent="0.3">
      <c r="A3617">
        <v>1780532</v>
      </c>
      <c r="B3617">
        <v>86.22</v>
      </c>
      <c r="C3617" t="s">
        <v>8714</v>
      </c>
      <c r="D3617" t="s">
        <v>8715</v>
      </c>
      <c r="E3617" t="s">
        <v>49</v>
      </c>
      <c r="F3617" t="s">
        <v>106</v>
      </c>
      <c r="G3617">
        <v>2016</v>
      </c>
      <c r="H3617" t="s">
        <v>826</v>
      </c>
      <c r="I3617" t="s">
        <v>6427</v>
      </c>
      <c r="K3617" t="s">
        <v>25</v>
      </c>
      <c r="L3617" t="s">
        <v>26</v>
      </c>
      <c r="M3617" t="b">
        <v>1</v>
      </c>
      <c r="N3617" t="s">
        <v>8716</v>
      </c>
      <c r="O3617" t="str">
        <f>"016.2207"</f>
        <v>016.2207</v>
      </c>
      <c r="Q3617" t="b">
        <v>0</v>
      </c>
      <c r="S3617" t="str">
        <f>"9780310520962"</f>
        <v>9780310520962</v>
      </c>
      <c r="T3617" t="str">
        <f>"9780310520979"</f>
        <v>9780310520979</v>
      </c>
      <c r="U3617" t="b">
        <v>0</v>
      </c>
      <c r="V3617" t="s">
        <v>8717</v>
      </c>
      <c r="W3617" t="b">
        <v>0</v>
      </c>
    </row>
    <row r="3618" spans="1:23" x14ac:dyDescent="0.3">
      <c r="A3618">
        <v>1780531</v>
      </c>
      <c r="B3618">
        <v>100.02</v>
      </c>
      <c r="C3618" t="s">
        <v>8718</v>
      </c>
      <c r="D3618" t="s">
        <v>7773</v>
      </c>
      <c r="E3618" t="s">
        <v>49</v>
      </c>
      <c r="F3618" t="s">
        <v>106</v>
      </c>
      <c r="G3618">
        <v>2016</v>
      </c>
      <c r="H3618" t="s">
        <v>6490</v>
      </c>
      <c r="I3618" t="s">
        <v>6410</v>
      </c>
      <c r="J3618" t="s">
        <v>8719</v>
      </c>
      <c r="K3618" t="s">
        <v>25</v>
      </c>
      <c r="L3618" t="s">
        <v>26</v>
      </c>
      <c r="M3618" t="b">
        <v>1</v>
      </c>
      <c r="N3618" t="s">
        <v>8720</v>
      </c>
      <c r="O3618" t="str">
        <f>"220.1/3"</f>
        <v>220.1/3</v>
      </c>
      <c r="P3618" t="s">
        <v>7771</v>
      </c>
      <c r="Q3618" t="b">
        <v>0</v>
      </c>
      <c r="S3618" t="str">
        <f>"9780310515722"</f>
        <v>9780310515722</v>
      </c>
      <c r="T3618" t="str">
        <f>"9780310515739"</f>
        <v>9780310515739</v>
      </c>
      <c r="U3618" t="b">
        <v>0</v>
      </c>
      <c r="W3618" t="b">
        <v>0</v>
      </c>
    </row>
    <row r="3619" spans="1:23" x14ac:dyDescent="0.3">
      <c r="A3619">
        <v>1780530</v>
      </c>
      <c r="B3619">
        <v>172.47</v>
      </c>
      <c r="C3619" t="s">
        <v>8721</v>
      </c>
      <c r="E3619" t="s">
        <v>49</v>
      </c>
      <c r="F3619" t="s">
        <v>106</v>
      </c>
      <c r="G3619">
        <v>2015</v>
      </c>
      <c r="H3619" t="s">
        <v>98</v>
      </c>
      <c r="I3619" t="s">
        <v>8722</v>
      </c>
      <c r="K3619" t="s">
        <v>25</v>
      </c>
      <c r="L3619" t="s">
        <v>26</v>
      </c>
      <c r="M3619" t="b">
        <v>1</v>
      </c>
      <c r="N3619" t="s">
        <v>8643</v>
      </c>
      <c r="O3619" t="str">
        <f>"227/.8707"</f>
        <v>227/.8707</v>
      </c>
      <c r="P3619" t="s">
        <v>6546</v>
      </c>
      <c r="Q3619" t="b">
        <v>0</v>
      </c>
      <c r="S3619" t="str">
        <f>"9780310522027"</f>
        <v>9780310522027</v>
      </c>
      <c r="T3619" t="str">
        <f>"9780310586319"</f>
        <v>9780310586319</v>
      </c>
      <c r="U3619" t="b">
        <v>0</v>
      </c>
      <c r="W3619" t="b">
        <v>0</v>
      </c>
    </row>
    <row r="3620" spans="1:23" x14ac:dyDescent="0.3">
      <c r="A3620">
        <v>1780529</v>
      </c>
      <c r="B3620">
        <v>172.47</v>
      </c>
      <c r="C3620" t="s">
        <v>8723</v>
      </c>
      <c r="E3620" t="s">
        <v>49</v>
      </c>
      <c r="F3620" t="s">
        <v>106</v>
      </c>
      <c r="G3620">
        <v>2018</v>
      </c>
      <c r="H3620" t="s">
        <v>927</v>
      </c>
      <c r="I3620" t="s">
        <v>8724</v>
      </c>
      <c r="K3620" t="s">
        <v>25</v>
      </c>
      <c r="L3620" t="s">
        <v>26</v>
      </c>
      <c r="M3620" t="b">
        <v>1</v>
      </c>
      <c r="N3620" t="s">
        <v>8725</v>
      </c>
      <c r="O3620" t="str">
        <f>"222.807"</f>
        <v>222.807</v>
      </c>
      <c r="P3620" t="s">
        <v>6546</v>
      </c>
      <c r="Q3620" t="b">
        <v>0</v>
      </c>
      <c r="S3620" t="str">
        <f>"9780310522133"</f>
        <v>9780310522133</v>
      </c>
      <c r="T3620" t="str">
        <f>"9780310588368"</f>
        <v>9780310588368</v>
      </c>
      <c r="U3620" t="b">
        <v>0</v>
      </c>
      <c r="W3620" t="b">
        <v>0</v>
      </c>
    </row>
    <row r="3621" spans="1:23" x14ac:dyDescent="0.3">
      <c r="A3621">
        <v>1780528</v>
      </c>
      <c r="B3621">
        <v>172.47</v>
      </c>
      <c r="C3621" t="s">
        <v>8726</v>
      </c>
      <c r="E3621" t="s">
        <v>49</v>
      </c>
      <c r="F3621" t="s">
        <v>106</v>
      </c>
      <c r="G3621">
        <v>2018</v>
      </c>
      <c r="H3621" t="s">
        <v>927</v>
      </c>
      <c r="I3621" t="s">
        <v>8727</v>
      </c>
      <c r="K3621" t="s">
        <v>25</v>
      </c>
      <c r="L3621" t="s">
        <v>26</v>
      </c>
      <c r="M3621" t="b">
        <v>1</v>
      </c>
      <c r="N3621" t="s">
        <v>8728</v>
      </c>
      <c r="O3621" t="str">
        <f>"222.35077"</f>
        <v>222.35077</v>
      </c>
      <c r="P3621" t="s">
        <v>6546</v>
      </c>
      <c r="Q3621" t="b">
        <v>0</v>
      </c>
      <c r="S3621" t="str">
        <f>"9780310522102"</f>
        <v>9780310522102</v>
      </c>
      <c r="T3621" t="str">
        <f>"9780310588283"</f>
        <v>9780310588283</v>
      </c>
      <c r="U3621" t="b">
        <v>0</v>
      </c>
      <c r="W3621" t="b">
        <v>0</v>
      </c>
    </row>
    <row r="3622" spans="1:23" x14ac:dyDescent="0.3">
      <c r="A3622">
        <v>1780527</v>
      </c>
      <c r="B3622">
        <v>172.47</v>
      </c>
      <c r="C3622" t="s">
        <v>8729</v>
      </c>
      <c r="E3622" t="s">
        <v>49</v>
      </c>
      <c r="F3622" t="s">
        <v>106</v>
      </c>
      <c r="G3622">
        <v>2017</v>
      </c>
      <c r="H3622" t="s">
        <v>927</v>
      </c>
      <c r="I3622" t="s">
        <v>8730</v>
      </c>
      <c r="K3622" t="s">
        <v>25</v>
      </c>
      <c r="L3622" t="s">
        <v>30</v>
      </c>
      <c r="M3622" t="b">
        <v>1</v>
      </c>
      <c r="N3622" t="s">
        <v>8614</v>
      </c>
      <c r="O3622" t="str">
        <f>"223.1077"</f>
        <v>223.1077</v>
      </c>
      <c r="P3622" t="s">
        <v>6546</v>
      </c>
      <c r="Q3622" t="b">
        <v>0</v>
      </c>
      <c r="S3622" t="str">
        <f>"9780310522003"</f>
        <v>9780310522003</v>
      </c>
      <c r="T3622" t="str">
        <f>"9780310586807"</f>
        <v>9780310586807</v>
      </c>
      <c r="U3622" t="b">
        <v>0</v>
      </c>
      <c r="W3622" t="b">
        <v>0</v>
      </c>
    </row>
    <row r="3623" spans="1:23" x14ac:dyDescent="0.3">
      <c r="A3623">
        <v>1780526</v>
      </c>
      <c r="B3623">
        <v>58.62</v>
      </c>
      <c r="C3623" t="s">
        <v>8731</v>
      </c>
      <c r="D3623" t="s">
        <v>8732</v>
      </c>
      <c r="E3623" t="s">
        <v>23</v>
      </c>
      <c r="F3623" t="s">
        <v>44</v>
      </c>
      <c r="G3623">
        <v>2016</v>
      </c>
      <c r="H3623" t="s">
        <v>70</v>
      </c>
      <c r="I3623" t="s">
        <v>8733</v>
      </c>
      <c r="J3623" t="s">
        <v>8734</v>
      </c>
      <c r="K3623" t="s">
        <v>25</v>
      </c>
      <c r="L3623" t="s">
        <v>26</v>
      </c>
      <c r="M3623" t="b">
        <v>1</v>
      </c>
      <c r="N3623" t="s">
        <v>8735</v>
      </c>
      <c r="O3623" t="str">
        <f>"248.2/46"</f>
        <v>248.2/46</v>
      </c>
      <c r="Q3623" t="b">
        <v>0</v>
      </c>
      <c r="S3623" t="str">
        <f>"9780310526667"</f>
        <v>9780310526667</v>
      </c>
      <c r="T3623" t="str">
        <f>"9780310526681"</f>
        <v>9780310526681</v>
      </c>
      <c r="U3623" t="b">
        <v>0</v>
      </c>
      <c r="W3623" t="b">
        <v>0</v>
      </c>
    </row>
    <row r="3624" spans="1:23" x14ac:dyDescent="0.3">
      <c r="A3624">
        <v>1780525</v>
      </c>
      <c r="B3624">
        <v>155.22</v>
      </c>
      <c r="C3624" t="s">
        <v>8736</v>
      </c>
      <c r="E3624" t="s">
        <v>49</v>
      </c>
      <c r="F3624" t="s">
        <v>106</v>
      </c>
      <c r="G3624">
        <v>2011</v>
      </c>
      <c r="H3624" t="s">
        <v>881</v>
      </c>
      <c r="I3624" t="s">
        <v>8737</v>
      </c>
      <c r="J3624" t="s">
        <v>8738</v>
      </c>
      <c r="K3624" t="s">
        <v>25</v>
      </c>
      <c r="L3624" t="s">
        <v>30</v>
      </c>
      <c r="M3624" t="b">
        <v>1</v>
      </c>
      <c r="N3624" t="s">
        <v>44</v>
      </c>
      <c r="O3624" t="str">
        <f>"248"</f>
        <v>248</v>
      </c>
      <c r="Q3624" t="b">
        <v>0</v>
      </c>
      <c r="S3624" t="str">
        <f>"9780310290667"</f>
        <v>9780310290667</v>
      </c>
      <c r="T3624" t="str">
        <f>"9780310531036"</f>
        <v>9780310531036</v>
      </c>
      <c r="U3624" t="b">
        <v>0</v>
      </c>
      <c r="W3624" t="b">
        <v>0</v>
      </c>
    </row>
    <row r="3625" spans="1:23" x14ac:dyDescent="0.3">
      <c r="A3625">
        <v>1780524</v>
      </c>
      <c r="B3625">
        <v>172.47</v>
      </c>
      <c r="C3625" t="s">
        <v>8739</v>
      </c>
      <c r="D3625" t="s">
        <v>7267</v>
      </c>
      <c r="E3625" t="s">
        <v>49</v>
      </c>
      <c r="F3625" t="s">
        <v>106</v>
      </c>
      <c r="G3625">
        <v>2017</v>
      </c>
      <c r="H3625" t="s">
        <v>893</v>
      </c>
      <c r="I3625" t="s">
        <v>8740</v>
      </c>
      <c r="J3625" t="s">
        <v>8741</v>
      </c>
      <c r="K3625" t="s">
        <v>25</v>
      </c>
      <c r="L3625" t="s">
        <v>26</v>
      </c>
      <c r="M3625" t="b">
        <v>1</v>
      </c>
      <c r="N3625" t="s">
        <v>8274</v>
      </c>
      <c r="O3625" t="str">
        <f>"487/.4"</f>
        <v>487/.4</v>
      </c>
      <c r="Q3625" t="b">
        <v>0</v>
      </c>
      <c r="S3625" t="str">
        <f>"9780310516354"</f>
        <v>9780310516354</v>
      </c>
      <c r="T3625" t="str">
        <f>"9780310525080"</f>
        <v>9780310525080</v>
      </c>
      <c r="U3625" t="b">
        <v>0</v>
      </c>
      <c r="W3625" t="b">
        <v>0</v>
      </c>
    </row>
    <row r="3626" spans="1:23" x14ac:dyDescent="0.3">
      <c r="A3626">
        <v>1780523</v>
      </c>
      <c r="B3626">
        <v>142.1</v>
      </c>
      <c r="C3626" t="s">
        <v>8742</v>
      </c>
      <c r="D3626" t="s">
        <v>3445</v>
      </c>
      <c r="E3626" t="s">
        <v>49</v>
      </c>
      <c r="F3626" t="s">
        <v>106</v>
      </c>
      <c r="G3626">
        <v>2017</v>
      </c>
      <c r="H3626" t="s">
        <v>1181</v>
      </c>
      <c r="I3626" t="s">
        <v>8743</v>
      </c>
      <c r="K3626" t="s">
        <v>25</v>
      </c>
      <c r="L3626" t="s">
        <v>26</v>
      </c>
      <c r="M3626" t="b">
        <v>1</v>
      </c>
      <c r="N3626" t="s">
        <v>6307</v>
      </c>
      <c r="O3626" t="str">
        <f>"222.207"</f>
        <v>222.207</v>
      </c>
      <c r="P3626" t="s">
        <v>6546</v>
      </c>
      <c r="Q3626" t="b">
        <v>0</v>
      </c>
      <c r="T3626" t="str">
        <f>"9780310520139"</f>
        <v>9780310520139</v>
      </c>
      <c r="U3626" t="b">
        <v>0</v>
      </c>
      <c r="V3626" t="s">
        <v>870</v>
      </c>
      <c r="W3626" t="b">
        <v>0</v>
      </c>
    </row>
    <row r="3627" spans="1:23" x14ac:dyDescent="0.3">
      <c r="A3627">
        <v>1780522</v>
      </c>
      <c r="B3627">
        <v>51.72</v>
      </c>
      <c r="C3627" t="s">
        <v>8744</v>
      </c>
      <c r="E3627" t="s">
        <v>23</v>
      </c>
      <c r="F3627" t="s">
        <v>44</v>
      </c>
      <c r="G3627">
        <v>2016</v>
      </c>
      <c r="H3627" t="s">
        <v>71</v>
      </c>
      <c r="I3627" t="s">
        <v>8745</v>
      </c>
      <c r="J3627" t="s">
        <v>895</v>
      </c>
      <c r="K3627" t="s">
        <v>25</v>
      </c>
      <c r="L3627" t="s">
        <v>26</v>
      </c>
      <c r="M3627" t="b">
        <v>1</v>
      </c>
      <c r="N3627" t="s">
        <v>8746</v>
      </c>
      <c r="O3627" t="str">
        <f>"220.6/1"</f>
        <v>220.6/1</v>
      </c>
      <c r="Q3627" t="b">
        <v>0</v>
      </c>
      <c r="S3627" t="str">
        <f>"9780310377818"</f>
        <v>9780310377818</v>
      </c>
      <c r="T3627" t="str">
        <f>"9780310535461"</f>
        <v>9780310535461</v>
      </c>
      <c r="U3627" t="b">
        <v>0</v>
      </c>
      <c r="W3627" t="b">
        <v>0</v>
      </c>
    </row>
    <row r="3628" spans="1:23" x14ac:dyDescent="0.3">
      <c r="A3628">
        <v>1780521</v>
      </c>
      <c r="B3628">
        <v>55.17</v>
      </c>
      <c r="C3628" t="s">
        <v>8747</v>
      </c>
      <c r="D3628" t="s">
        <v>8748</v>
      </c>
      <c r="E3628" t="s">
        <v>23</v>
      </c>
      <c r="F3628" t="s">
        <v>106</v>
      </c>
      <c r="G3628">
        <v>2016</v>
      </c>
      <c r="H3628" t="s">
        <v>3415</v>
      </c>
      <c r="I3628" t="s">
        <v>8749</v>
      </c>
      <c r="J3628" t="s">
        <v>895</v>
      </c>
      <c r="K3628" t="s">
        <v>25</v>
      </c>
      <c r="L3628" t="s">
        <v>26</v>
      </c>
      <c r="M3628" t="b">
        <v>1</v>
      </c>
      <c r="N3628" t="s">
        <v>8750</v>
      </c>
      <c r="O3628" t="str">
        <f>"220.3"</f>
        <v>220.3</v>
      </c>
      <c r="Q3628" t="b">
        <v>0</v>
      </c>
      <c r="S3628" t="str">
        <f>"9780310437116"</f>
        <v>9780310437116</v>
      </c>
      <c r="T3628" t="str">
        <f>"9780310535423"</f>
        <v>9780310535423</v>
      </c>
      <c r="U3628" t="b">
        <v>0</v>
      </c>
      <c r="W3628" t="b">
        <v>0</v>
      </c>
    </row>
    <row r="3629" spans="1:23" x14ac:dyDescent="0.3">
      <c r="A3629">
        <v>1780520</v>
      </c>
      <c r="B3629">
        <v>68.97</v>
      </c>
      <c r="C3629" t="s">
        <v>8751</v>
      </c>
      <c r="E3629" t="s">
        <v>49</v>
      </c>
      <c r="F3629" t="s">
        <v>44</v>
      </c>
      <c r="G3629">
        <v>1981</v>
      </c>
      <c r="H3629" t="s">
        <v>76</v>
      </c>
      <c r="I3629" t="s">
        <v>8752</v>
      </c>
      <c r="K3629" t="s">
        <v>25</v>
      </c>
      <c r="L3629" t="s">
        <v>26</v>
      </c>
      <c r="M3629" t="b">
        <v>1</v>
      </c>
      <c r="N3629" t="s">
        <v>8678</v>
      </c>
      <c r="O3629" t="str">
        <f>"226/.1"</f>
        <v>226/.1</v>
      </c>
      <c r="Q3629" t="b">
        <v>0</v>
      </c>
      <c r="S3629" t="str">
        <f>"9780310309512"</f>
        <v>9780310309512</v>
      </c>
      <c r="T3629" t="str">
        <f>"9780310536178"</f>
        <v>9780310536178</v>
      </c>
      <c r="U3629" t="b">
        <v>0</v>
      </c>
      <c r="W3629" t="b">
        <v>0</v>
      </c>
    </row>
    <row r="3630" spans="1:23" x14ac:dyDescent="0.3">
      <c r="A3630">
        <v>1780519</v>
      </c>
      <c r="B3630">
        <v>34.47</v>
      </c>
      <c r="C3630" t="s">
        <v>8753</v>
      </c>
      <c r="E3630" t="s">
        <v>49</v>
      </c>
      <c r="F3630" t="s">
        <v>44</v>
      </c>
      <c r="G3630">
        <v>2016</v>
      </c>
      <c r="H3630" t="s">
        <v>6402</v>
      </c>
      <c r="K3630" t="s">
        <v>25</v>
      </c>
      <c r="L3630" t="s">
        <v>26</v>
      </c>
      <c r="M3630" t="b">
        <v>1</v>
      </c>
      <c r="N3630" t="s">
        <v>8754</v>
      </c>
      <c r="P3630" t="s">
        <v>8755</v>
      </c>
      <c r="Q3630" t="b">
        <v>0</v>
      </c>
      <c r="S3630" t="str">
        <f>"9780310704317"</f>
        <v>9780310704317</v>
      </c>
      <c r="T3630" t="str">
        <f>"9780310535010"</f>
        <v>9780310535010</v>
      </c>
      <c r="U3630" t="b">
        <v>0</v>
      </c>
      <c r="W3630" t="b">
        <v>0</v>
      </c>
    </row>
    <row r="3631" spans="1:23" x14ac:dyDescent="0.3">
      <c r="A3631">
        <v>1780518</v>
      </c>
      <c r="B3631">
        <v>51.72</v>
      </c>
      <c r="C3631" t="s">
        <v>8756</v>
      </c>
      <c r="E3631" t="s">
        <v>49</v>
      </c>
      <c r="F3631" t="s">
        <v>106</v>
      </c>
      <c r="G3631">
        <v>2004</v>
      </c>
      <c r="H3631" t="s">
        <v>893</v>
      </c>
      <c r="I3631" t="s">
        <v>894</v>
      </c>
      <c r="J3631" t="s">
        <v>8757</v>
      </c>
      <c r="K3631" t="s">
        <v>25</v>
      </c>
      <c r="L3631" t="s">
        <v>26</v>
      </c>
      <c r="M3631" t="b">
        <v>1</v>
      </c>
      <c r="N3631" t="s">
        <v>8758</v>
      </c>
      <c r="O3631" t="str">
        <f>"487/.4"</f>
        <v>487/.4</v>
      </c>
      <c r="Q3631" t="b">
        <v>0</v>
      </c>
      <c r="S3631" t="str">
        <f>"9780310255345"</f>
        <v>9780310255345</v>
      </c>
      <c r="T3631" t="str">
        <f>"9780310535850"</f>
        <v>9780310535850</v>
      </c>
      <c r="U3631" t="b">
        <v>0</v>
      </c>
      <c r="W3631" t="b">
        <v>0</v>
      </c>
    </row>
    <row r="3632" spans="1:23" x14ac:dyDescent="0.3">
      <c r="A3632">
        <v>1780517</v>
      </c>
      <c r="B3632">
        <v>34.47</v>
      </c>
      <c r="C3632" t="s">
        <v>8759</v>
      </c>
      <c r="E3632" t="s">
        <v>49</v>
      </c>
      <c r="F3632" t="s">
        <v>44</v>
      </c>
      <c r="G3632">
        <v>2016</v>
      </c>
      <c r="H3632" t="s">
        <v>6402</v>
      </c>
      <c r="K3632" t="s">
        <v>25</v>
      </c>
      <c r="L3632" t="s">
        <v>26</v>
      </c>
      <c r="M3632" t="b">
        <v>1</v>
      </c>
      <c r="N3632" t="s">
        <v>8760</v>
      </c>
      <c r="P3632" t="s">
        <v>8755</v>
      </c>
      <c r="Q3632" t="b">
        <v>0</v>
      </c>
      <c r="S3632" t="str">
        <f>"9780310704515"</f>
        <v>9780310704515</v>
      </c>
      <c r="T3632" t="str">
        <f>"9780310535003"</f>
        <v>9780310535003</v>
      </c>
      <c r="U3632" t="b">
        <v>0</v>
      </c>
      <c r="W3632" t="b">
        <v>0</v>
      </c>
    </row>
    <row r="3633" spans="1:23" x14ac:dyDescent="0.3">
      <c r="A3633">
        <v>1780516</v>
      </c>
      <c r="B3633">
        <v>34.47</v>
      </c>
      <c r="C3633" t="s">
        <v>8761</v>
      </c>
      <c r="E3633" t="s">
        <v>49</v>
      </c>
      <c r="F3633" t="s">
        <v>44</v>
      </c>
      <c r="G3633">
        <v>1995</v>
      </c>
      <c r="H3633" t="s">
        <v>6402</v>
      </c>
      <c r="I3633" t="s">
        <v>8762</v>
      </c>
      <c r="J3633" t="s">
        <v>8763</v>
      </c>
      <c r="K3633" t="s">
        <v>25</v>
      </c>
      <c r="L3633" t="s">
        <v>26</v>
      </c>
      <c r="M3633" t="b">
        <v>1</v>
      </c>
      <c r="N3633" t="s">
        <v>8764</v>
      </c>
      <c r="O3633" t="str">
        <f>"366/.1"</f>
        <v>366/.1</v>
      </c>
      <c r="P3633" t="s">
        <v>8765</v>
      </c>
      <c r="Q3633" t="b">
        <v>0</v>
      </c>
      <c r="S3633" t="str">
        <f>"9780310704218"</f>
        <v>9780310704218</v>
      </c>
      <c r="T3633" t="str">
        <f>"9780310535034"</f>
        <v>9780310535034</v>
      </c>
      <c r="U3633" t="b">
        <v>0</v>
      </c>
      <c r="W3633" t="b">
        <v>0</v>
      </c>
    </row>
    <row r="3634" spans="1:23" x14ac:dyDescent="0.3">
      <c r="A3634">
        <v>1780515</v>
      </c>
      <c r="B3634">
        <v>34.47</v>
      </c>
      <c r="C3634" t="s">
        <v>8766</v>
      </c>
      <c r="E3634" t="s">
        <v>49</v>
      </c>
      <c r="F3634" t="s">
        <v>44</v>
      </c>
      <c r="G3634">
        <v>1995</v>
      </c>
      <c r="H3634" t="s">
        <v>6402</v>
      </c>
      <c r="I3634" t="s">
        <v>8767</v>
      </c>
      <c r="J3634" t="s">
        <v>8768</v>
      </c>
      <c r="K3634" t="s">
        <v>25</v>
      </c>
      <c r="L3634" t="s">
        <v>26</v>
      </c>
      <c r="M3634" t="b">
        <v>1</v>
      </c>
      <c r="N3634" t="s">
        <v>8769</v>
      </c>
      <c r="O3634" t="str">
        <f>"289.9/2"</f>
        <v>289.9/2</v>
      </c>
      <c r="P3634" t="s">
        <v>8765</v>
      </c>
      <c r="Q3634" t="b">
        <v>0</v>
      </c>
      <c r="S3634" t="str">
        <f>"9780310704119"</f>
        <v>9780310704119</v>
      </c>
      <c r="T3634" t="str">
        <f>"9780310535041"</f>
        <v>9780310535041</v>
      </c>
      <c r="U3634" t="b">
        <v>0</v>
      </c>
      <c r="W3634" t="b">
        <v>0</v>
      </c>
    </row>
    <row r="3635" spans="1:23" x14ac:dyDescent="0.3">
      <c r="A3635">
        <v>1780514</v>
      </c>
      <c r="B3635">
        <v>34.47</v>
      </c>
      <c r="C3635" t="s">
        <v>8770</v>
      </c>
      <c r="E3635" t="s">
        <v>49</v>
      </c>
      <c r="F3635" t="s">
        <v>44</v>
      </c>
      <c r="G3635">
        <v>1995</v>
      </c>
      <c r="H3635" t="s">
        <v>6486</v>
      </c>
      <c r="I3635" t="s">
        <v>8771</v>
      </c>
      <c r="J3635" t="s">
        <v>8772</v>
      </c>
      <c r="K3635" t="s">
        <v>25</v>
      </c>
      <c r="L3635" t="s">
        <v>26</v>
      </c>
      <c r="M3635" t="b">
        <v>1</v>
      </c>
      <c r="N3635" t="s">
        <v>8773</v>
      </c>
      <c r="O3635" t="str">
        <f>"289.3"</f>
        <v>289.3</v>
      </c>
      <c r="P3635" t="s">
        <v>8765</v>
      </c>
      <c r="Q3635" t="b">
        <v>0</v>
      </c>
      <c r="S3635" t="str">
        <f>"9780310704010"</f>
        <v>9780310704010</v>
      </c>
      <c r="T3635" t="str">
        <f>"9780310535027"</f>
        <v>9780310535027</v>
      </c>
      <c r="U3635" t="b">
        <v>0</v>
      </c>
      <c r="W3635" t="b">
        <v>0</v>
      </c>
    </row>
    <row r="3636" spans="1:23" x14ac:dyDescent="0.3">
      <c r="A3636">
        <v>1780513</v>
      </c>
      <c r="B3636">
        <v>34.47</v>
      </c>
      <c r="C3636" t="s">
        <v>8774</v>
      </c>
      <c r="E3636" t="s">
        <v>49</v>
      </c>
      <c r="F3636" t="s">
        <v>44</v>
      </c>
      <c r="G3636">
        <v>1998</v>
      </c>
      <c r="H3636" t="s">
        <v>6402</v>
      </c>
      <c r="I3636" t="s">
        <v>8775</v>
      </c>
      <c r="J3636" t="s">
        <v>8776</v>
      </c>
      <c r="K3636" t="s">
        <v>25</v>
      </c>
      <c r="L3636" t="s">
        <v>26</v>
      </c>
      <c r="M3636" t="b">
        <v>1</v>
      </c>
      <c r="N3636" t="s">
        <v>8777</v>
      </c>
      <c r="O3636" t="str">
        <f>"261.2/45"</f>
        <v>261.2/45</v>
      </c>
      <c r="P3636" t="s">
        <v>8765</v>
      </c>
      <c r="Q3636" t="b">
        <v>0</v>
      </c>
      <c r="S3636" t="str">
        <f>"9780310703914"</f>
        <v>9780310703914</v>
      </c>
      <c r="T3636" t="str">
        <f>"9780310534945"</f>
        <v>9780310534945</v>
      </c>
      <c r="U3636" t="b">
        <v>0</v>
      </c>
      <c r="W3636" t="b">
        <v>0</v>
      </c>
    </row>
    <row r="3637" spans="1:23" x14ac:dyDescent="0.3">
      <c r="A3637">
        <v>1780512</v>
      </c>
      <c r="B3637">
        <v>34.47</v>
      </c>
      <c r="C3637" t="s">
        <v>8778</v>
      </c>
      <c r="E3637" t="s">
        <v>49</v>
      </c>
      <c r="F3637" t="s">
        <v>44</v>
      </c>
      <c r="G3637">
        <v>2016</v>
      </c>
      <c r="H3637" t="s">
        <v>6402</v>
      </c>
      <c r="K3637" t="s">
        <v>25</v>
      </c>
      <c r="L3637" t="s">
        <v>26</v>
      </c>
      <c r="M3637" t="b">
        <v>1</v>
      </c>
      <c r="N3637" t="s">
        <v>8777</v>
      </c>
      <c r="P3637" t="s">
        <v>8755</v>
      </c>
      <c r="Q3637" t="b">
        <v>0</v>
      </c>
      <c r="S3637" t="str">
        <f>"9780310703815"</f>
        <v>9780310703815</v>
      </c>
      <c r="T3637" t="str">
        <f>"9780310534990"</f>
        <v>9780310534990</v>
      </c>
      <c r="U3637" t="b">
        <v>0</v>
      </c>
      <c r="W3637" t="b">
        <v>0</v>
      </c>
    </row>
    <row r="3638" spans="1:23" x14ac:dyDescent="0.3">
      <c r="A3638">
        <v>1780511</v>
      </c>
      <c r="B3638">
        <v>34.47</v>
      </c>
      <c r="C3638" t="s">
        <v>8779</v>
      </c>
      <c r="E3638" t="s">
        <v>49</v>
      </c>
      <c r="F3638" t="s">
        <v>44</v>
      </c>
      <c r="G3638">
        <v>2016</v>
      </c>
      <c r="H3638" t="s">
        <v>6402</v>
      </c>
      <c r="K3638" t="s">
        <v>25</v>
      </c>
      <c r="L3638" t="s">
        <v>26</v>
      </c>
      <c r="M3638" t="b">
        <v>1</v>
      </c>
      <c r="N3638" t="s">
        <v>8780</v>
      </c>
      <c r="P3638" t="s">
        <v>8755</v>
      </c>
      <c r="Q3638" t="b">
        <v>0</v>
      </c>
      <c r="S3638" t="str">
        <f>"9780310489214"</f>
        <v>9780310489214</v>
      </c>
      <c r="T3638" t="str">
        <f>"9780310534969"</f>
        <v>9780310534969</v>
      </c>
      <c r="U3638" t="b">
        <v>0</v>
      </c>
      <c r="W3638" t="b">
        <v>0</v>
      </c>
    </row>
    <row r="3639" spans="1:23" x14ac:dyDescent="0.3">
      <c r="A3639">
        <v>1780510</v>
      </c>
      <c r="B3639">
        <v>34.47</v>
      </c>
      <c r="C3639" t="s">
        <v>8781</v>
      </c>
      <c r="D3639" t="s">
        <v>8782</v>
      </c>
      <c r="E3639" t="s">
        <v>49</v>
      </c>
      <c r="F3639" t="s">
        <v>44</v>
      </c>
      <c r="G3639">
        <v>2016</v>
      </c>
      <c r="H3639" t="s">
        <v>6402</v>
      </c>
      <c r="K3639" t="s">
        <v>25</v>
      </c>
      <c r="L3639" t="s">
        <v>26</v>
      </c>
      <c r="M3639" t="b">
        <v>1</v>
      </c>
      <c r="N3639" t="s">
        <v>8777</v>
      </c>
      <c r="P3639" t="s">
        <v>8755</v>
      </c>
      <c r="Q3639" t="b">
        <v>0</v>
      </c>
      <c r="S3639" t="str">
        <f>"9780310489122"</f>
        <v>9780310489122</v>
      </c>
      <c r="T3639" t="str">
        <f>"9780310534938"</f>
        <v>9780310534938</v>
      </c>
      <c r="U3639" t="b">
        <v>0</v>
      </c>
      <c r="W3639" t="b">
        <v>0</v>
      </c>
    </row>
    <row r="3640" spans="1:23" x14ac:dyDescent="0.3">
      <c r="A3640">
        <v>1780509</v>
      </c>
      <c r="B3640">
        <v>34.47</v>
      </c>
      <c r="C3640" t="s">
        <v>8783</v>
      </c>
      <c r="E3640" t="s">
        <v>49</v>
      </c>
      <c r="F3640" t="s">
        <v>44</v>
      </c>
      <c r="G3640">
        <v>1998</v>
      </c>
      <c r="H3640" t="s">
        <v>6402</v>
      </c>
      <c r="I3640" t="s">
        <v>8784</v>
      </c>
      <c r="J3640" t="s">
        <v>8785</v>
      </c>
      <c r="K3640" t="s">
        <v>25</v>
      </c>
      <c r="L3640" t="s">
        <v>26</v>
      </c>
      <c r="M3640" t="b">
        <v>1</v>
      </c>
      <c r="N3640" t="s">
        <v>8786</v>
      </c>
      <c r="O3640" t="str">
        <f>"261.2/9"</f>
        <v>261.2/9</v>
      </c>
      <c r="P3640" t="s">
        <v>8765</v>
      </c>
      <c r="Q3640" t="b">
        <v>0</v>
      </c>
      <c r="S3640" t="str">
        <f>"9780310488811"</f>
        <v>9780310488811</v>
      </c>
      <c r="T3640" t="str">
        <f>"9780310534952"</f>
        <v>9780310534952</v>
      </c>
      <c r="U3640" t="b">
        <v>0</v>
      </c>
      <c r="W3640" t="b">
        <v>0</v>
      </c>
    </row>
    <row r="3641" spans="1:23" x14ac:dyDescent="0.3">
      <c r="A3641">
        <v>1780508</v>
      </c>
      <c r="B3641">
        <v>34.47</v>
      </c>
      <c r="C3641" t="s">
        <v>8787</v>
      </c>
      <c r="E3641" t="s">
        <v>49</v>
      </c>
      <c r="F3641" t="s">
        <v>44</v>
      </c>
      <c r="G3641">
        <v>1998</v>
      </c>
      <c r="H3641" t="s">
        <v>6402</v>
      </c>
      <c r="I3641" t="s">
        <v>8788</v>
      </c>
      <c r="J3641" t="s">
        <v>8789</v>
      </c>
      <c r="K3641" t="s">
        <v>25</v>
      </c>
      <c r="L3641" t="s">
        <v>26</v>
      </c>
      <c r="M3641" t="b">
        <v>1</v>
      </c>
      <c r="N3641" t="s">
        <v>8790</v>
      </c>
      <c r="O3641" t="str">
        <f>"289.9/4"</f>
        <v>289.9/4</v>
      </c>
      <c r="P3641" t="s">
        <v>8765</v>
      </c>
      <c r="Q3641" t="b">
        <v>0</v>
      </c>
      <c r="S3641" t="str">
        <f>"9780310488712"</f>
        <v>9780310488712</v>
      </c>
      <c r="T3641" t="str">
        <f>"9780310534976"</f>
        <v>9780310534976</v>
      </c>
      <c r="U3641" t="b">
        <v>0</v>
      </c>
      <c r="W3641" t="b">
        <v>0</v>
      </c>
    </row>
    <row r="3642" spans="1:23" x14ac:dyDescent="0.3">
      <c r="A3642">
        <v>1780507</v>
      </c>
      <c r="B3642">
        <v>34.47</v>
      </c>
      <c r="C3642" t="s">
        <v>8791</v>
      </c>
      <c r="D3642" t="s">
        <v>8792</v>
      </c>
      <c r="E3642" t="s">
        <v>49</v>
      </c>
      <c r="F3642" t="s">
        <v>44</v>
      </c>
      <c r="G3642">
        <v>2016</v>
      </c>
      <c r="H3642" t="s">
        <v>6402</v>
      </c>
      <c r="K3642" t="s">
        <v>25</v>
      </c>
      <c r="L3642" t="s">
        <v>26</v>
      </c>
      <c r="M3642" t="b">
        <v>1</v>
      </c>
      <c r="N3642" t="s">
        <v>8793</v>
      </c>
      <c r="P3642" t="s">
        <v>8755</v>
      </c>
      <c r="Q3642" t="b">
        <v>0</v>
      </c>
      <c r="S3642" t="str">
        <f>"9780310488613"</f>
        <v>9780310488613</v>
      </c>
      <c r="T3642" t="str">
        <f>"9780310534983"</f>
        <v>9780310534983</v>
      </c>
      <c r="U3642" t="b">
        <v>0</v>
      </c>
      <c r="W3642" t="b">
        <v>0</v>
      </c>
    </row>
    <row r="3643" spans="1:23" x14ac:dyDescent="0.3">
      <c r="A3643">
        <v>1780506</v>
      </c>
      <c r="B3643">
        <v>34.47</v>
      </c>
      <c r="C3643" t="s">
        <v>8794</v>
      </c>
      <c r="D3643" t="s">
        <v>8795</v>
      </c>
      <c r="E3643" t="s">
        <v>49</v>
      </c>
      <c r="F3643" t="s">
        <v>44</v>
      </c>
      <c r="G3643">
        <v>2016</v>
      </c>
      <c r="H3643" t="s">
        <v>6402</v>
      </c>
      <c r="K3643" t="s">
        <v>25</v>
      </c>
      <c r="L3643" t="s">
        <v>26</v>
      </c>
      <c r="M3643" t="b">
        <v>1</v>
      </c>
      <c r="N3643" t="s">
        <v>44</v>
      </c>
      <c r="P3643" t="s">
        <v>8755</v>
      </c>
      <c r="Q3643" t="b">
        <v>0</v>
      </c>
      <c r="S3643" t="str">
        <f>"9780310220497"</f>
        <v>9780310220497</v>
      </c>
      <c r="T3643" t="str">
        <f>"9780310534921"</f>
        <v>9780310534921</v>
      </c>
      <c r="U3643" t="b">
        <v>0</v>
      </c>
      <c r="W3643" t="b">
        <v>0</v>
      </c>
    </row>
    <row r="3644" spans="1:23" x14ac:dyDescent="0.3">
      <c r="A3644">
        <v>1780505</v>
      </c>
      <c r="B3644">
        <v>120.72</v>
      </c>
      <c r="C3644" t="s">
        <v>8796</v>
      </c>
      <c r="D3644" t="s">
        <v>8797</v>
      </c>
      <c r="E3644" t="s">
        <v>49</v>
      </c>
      <c r="F3644" t="s">
        <v>106</v>
      </c>
      <c r="G3644">
        <v>2017</v>
      </c>
      <c r="H3644" t="s">
        <v>5781</v>
      </c>
      <c r="I3644" t="s">
        <v>8798</v>
      </c>
      <c r="J3644" t="s">
        <v>8799</v>
      </c>
      <c r="K3644" t="s">
        <v>25</v>
      </c>
      <c r="L3644" t="s">
        <v>26</v>
      </c>
      <c r="M3644" t="b">
        <v>1</v>
      </c>
      <c r="N3644" t="s">
        <v>7314</v>
      </c>
      <c r="O3644" t="str">
        <f>"222/.1/07"</f>
        <v>222/.1/07</v>
      </c>
      <c r="P3644" t="s">
        <v>8800</v>
      </c>
      <c r="Q3644" t="b">
        <v>0</v>
      </c>
      <c r="S3644" t="str">
        <f>"9780310574217"</f>
        <v>9780310574217</v>
      </c>
      <c r="T3644" t="str">
        <f>"9780310537564"</f>
        <v>9780310537564</v>
      </c>
      <c r="U3644" t="b">
        <v>0</v>
      </c>
      <c r="V3644" t="s">
        <v>6095</v>
      </c>
      <c r="W3644" t="b">
        <v>0</v>
      </c>
    </row>
    <row r="3645" spans="1:23" x14ac:dyDescent="0.3">
      <c r="A3645">
        <v>1580978</v>
      </c>
      <c r="B3645">
        <v>127.62</v>
      </c>
      <c r="C3645" t="s">
        <v>3431</v>
      </c>
      <c r="E3645" t="s">
        <v>49</v>
      </c>
      <c r="F3645" t="s">
        <v>106</v>
      </c>
      <c r="G3645">
        <v>2016</v>
      </c>
      <c r="H3645" t="s">
        <v>6356</v>
      </c>
      <c r="I3645" t="s">
        <v>8475</v>
      </c>
      <c r="K3645" t="s">
        <v>25</v>
      </c>
      <c r="L3645" t="s">
        <v>26</v>
      </c>
      <c r="M3645" t="b">
        <v>1</v>
      </c>
      <c r="N3645" t="s">
        <v>6765</v>
      </c>
      <c r="O3645" t="str">
        <f>"222/.11077"</f>
        <v>222/.11077</v>
      </c>
      <c r="P3645" t="s">
        <v>8801</v>
      </c>
      <c r="Q3645" t="b">
        <v>0</v>
      </c>
      <c r="S3645" t="str">
        <f>"9780310496076"</f>
        <v>9780310496076</v>
      </c>
      <c r="T3645" t="str">
        <f>"9780310496083"</f>
        <v>9780310496083</v>
      </c>
      <c r="U3645" t="b">
        <v>0</v>
      </c>
      <c r="W3645" t="b">
        <v>0</v>
      </c>
    </row>
    <row r="3646" spans="1:23" x14ac:dyDescent="0.3">
      <c r="A3646">
        <v>1580977</v>
      </c>
      <c r="B3646">
        <v>127.62</v>
      </c>
      <c r="C3646" t="s">
        <v>3420</v>
      </c>
      <c r="E3646" t="s">
        <v>49</v>
      </c>
      <c r="F3646" t="s">
        <v>106</v>
      </c>
      <c r="G3646">
        <v>2015</v>
      </c>
      <c r="H3646" t="s">
        <v>6356</v>
      </c>
      <c r="I3646" t="s">
        <v>8802</v>
      </c>
      <c r="K3646" t="s">
        <v>25</v>
      </c>
      <c r="L3646" t="s">
        <v>26</v>
      </c>
      <c r="M3646" t="b">
        <v>1</v>
      </c>
      <c r="N3646" t="s">
        <v>760</v>
      </c>
      <c r="O3646" t="str">
        <f>"227/.1077"</f>
        <v>227/.1077</v>
      </c>
      <c r="P3646" t="s">
        <v>6508</v>
      </c>
      <c r="Q3646" t="b">
        <v>0</v>
      </c>
      <c r="S3646" t="str">
        <f>"9780310327189"</f>
        <v>9780310327189</v>
      </c>
      <c r="T3646" t="str">
        <f>"9780310599067"</f>
        <v>9780310599067</v>
      </c>
      <c r="U3646" t="b">
        <v>0</v>
      </c>
      <c r="W3646" t="b">
        <v>0</v>
      </c>
    </row>
    <row r="3647" spans="1:23" x14ac:dyDescent="0.3">
      <c r="A3647">
        <v>1580973</v>
      </c>
      <c r="B3647">
        <v>96.57</v>
      </c>
      <c r="C3647" t="s">
        <v>8803</v>
      </c>
      <c r="D3647" t="s">
        <v>8804</v>
      </c>
      <c r="E3647" t="s">
        <v>49</v>
      </c>
      <c r="F3647" t="s">
        <v>106</v>
      </c>
      <c r="G3647">
        <v>2016</v>
      </c>
      <c r="H3647" t="s">
        <v>1032</v>
      </c>
      <c r="I3647" t="s">
        <v>5620</v>
      </c>
      <c r="J3647" t="s">
        <v>8805</v>
      </c>
      <c r="K3647" t="s">
        <v>25</v>
      </c>
      <c r="L3647" t="s">
        <v>26</v>
      </c>
      <c r="M3647" t="b">
        <v>1</v>
      </c>
      <c r="N3647" t="s">
        <v>7653</v>
      </c>
      <c r="O3647" t="str">
        <f>"233"</f>
        <v>233</v>
      </c>
      <c r="Q3647" t="b">
        <v>0</v>
      </c>
      <c r="S3647" t="str">
        <f>"9780310516415"</f>
        <v>9780310516415</v>
      </c>
      <c r="T3647" t="str">
        <f>"9780310516422"</f>
        <v>9780310516422</v>
      </c>
      <c r="U3647" t="b">
        <v>0</v>
      </c>
      <c r="W3647" t="b">
        <v>0</v>
      </c>
    </row>
    <row r="3648" spans="1:23" x14ac:dyDescent="0.3">
      <c r="A3648">
        <v>1580972</v>
      </c>
      <c r="B3648">
        <v>103.47</v>
      </c>
      <c r="C3648" t="s">
        <v>8806</v>
      </c>
      <c r="E3648" t="s">
        <v>23</v>
      </c>
      <c r="F3648" t="s">
        <v>44</v>
      </c>
      <c r="G3648">
        <v>2015</v>
      </c>
      <c r="H3648" t="s">
        <v>1105</v>
      </c>
      <c r="I3648" t="s">
        <v>2493</v>
      </c>
      <c r="K3648" t="s">
        <v>25</v>
      </c>
      <c r="L3648" t="s">
        <v>30</v>
      </c>
      <c r="M3648" t="b">
        <v>1</v>
      </c>
      <c r="N3648" t="s">
        <v>44</v>
      </c>
      <c r="O3648" t="str">
        <f>"220.5/20814"</f>
        <v>220.5/20814</v>
      </c>
      <c r="Q3648" t="b">
        <v>0</v>
      </c>
      <c r="S3648" t="str">
        <f>"9780310441861"</f>
        <v>9780310441861</v>
      </c>
      <c r="T3648" t="str">
        <f>"9780310441885"</f>
        <v>9780310441885</v>
      </c>
      <c r="U3648" t="b">
        <v>0</v>
      </c>
      <c r="W3648" t="b">
        <v>0</v>
      </c>
    </row>
    <row r="3649" spans="1:23" x14ac:dyDescent="0.3">
      <c r="A3649">
        <v>1580971</v>
      </c>
      <c r="B3649">
        <v>113.68</v>
      </c>
      <c r="C3649" t="s">
        <v>8807</v>
      </c>
      <c r="D3649" t="s">
        <v>8808</v>
      </c>
      <c r="E3649" t="s">
        <v>23</v>
      </c>
      <c r="F3649" t="s">
        <v>44</v>
      </c>
      <c r="G3649">
        <v>2016</v>
      </c>
      <c r="H3649" t="s">
        <v>1105</v>
      </c>
      <c r="K3649" t="s">
        <v>25</v>
      </c>
      <c r="L3649" t="s">
        <v>26</v>
      </c>
      <c r="M3649" t="b">
        <v>1</v>
      </c>
      <c r="N3649" t="s">
        <v>44</v>
      </c>
      <c r="Q3649" t="b">
        <v>0</v>
      </c>
      <c r="S3649" t="str">
        <f>"9780310437130"</f>
        <v>9780310437130</v>
      </c>
      <c r="T3649" t="str">
        <f>"9780310437208"</f>
        <v>9780310437208</v>
      </c>
      <c r="U3649" t="b">
        <v>0</v>
      </c>
      <c r="W3649" t="b">
        <v>0</v>
      </c>
    </row>
    <row r="3650" spans="1:23" x14ac:dyDescent="0.3">
      <c r="A3650">
        <v>1525089</v>
      </c>
      <c r="B3650">
        <v>60.37</v>
      </c>
      <c r="C3650" t="s">
        <v>8543</v>
      </c>
      <c r="E3650" t="s">
        <v>49</v>
      </c>
      <c r="F3650" t="s">
        <v>106</v>
      </c>
      <c r="G3650">
        <v>2009</v>
      </c>
      <c r="H3650" t="s">
        <v>101</v>
      </c>
      <c r="I3650" t="s">
        <v>6270</v>
      </c>
      <c r="K3650" t="s">
        <v>25</v>
      </c>
      <c r="L3650" t="s">
        <v>30</v>
      </c>
      <c r="M3650" t="b">
        <v>1</v>
      </c>
      <c r="N3650" t="s">
        <v>8809</v>
      </c>
      <c r="O3650" t="str">
        <f>"220.7"</f>
        <v>220.7</v>
      </c>
      <c r="P3650" t="s">
        <v>6271</v>
      </c>
      <c r="Q3650" t="b">
        <v>0</v>
      </c>
      <c r="S3650" t="str">
        <f>"9780310235019"</f>
        <v>9780310235019</v>
      </c>
      <c r="T3650" t="str">
        <f>"9780310532040"</f>
        <v>9780310532040</v>
      </c>
      <c r="U3650" t="b">
        <v>0</v>
      </c>
      <c r="V3650" t="s">
        <v>940</v>
      </c>
      <c r="W3650" t="b">
        <v>0</v>
      </c>
    </row>
    <row r="3651" spans="1:23" x14ac:dyDescent="0.3">
      <c r="A3651">
        <v>1525087</v>
      </c>
      <c r="B3651">
        <v>58.62</v>
      </c>
      <c r="C3651" t="s">
        <v>8810</v>
      </c>
      <c r="D3651" t="s">
        <v>8811</v>
      </c>
      <c r="E3651" t="s">
        <v>23</v>
      </c>
      <c r="F3651" t="s">
        <v>44</v>
      </c>
      <c r="G3651">
        <v>2005</v>
      </c>
      <c r="H3651" t="s">
        <v>89</v>
      </c>
      <c r="I3651" t="s">
        <v>8812</v>
      </c>
      <c r="J3651" t="s">
        <v>8813</v>
      </c>
      <c r="K3651" t="s">
        <v>25</v>
      </c>
      <c r="L3651" t="s">
        <v>30</v>
      </c>
      <c r="M3651" t="b">
        <v>1</v>
      </c>
      <c r="N3651" t="s">
        <v>5754</v>
      </c>
      <c r="O3651" t="str">
        <f>"220.9/2/082"</f>
        <v>220.9/2/082</v>
      </c>
      <c r="Q3651" t="b">
        <v>0</v>
      </c>
      <c r="S3651" t="str">
        <f>"9780310285250"</f>
        <v>9780310285250</v>
      </c>
      <c r="T3651" t="str">
        <f>"9780310297543"</f>
        <v>9780310297543</v>
      </c>
      <c r="U3651" t="b">
        <v>0</v>
      </c>
      <c r="W3651" t="b">
        <v>0</v>
      </c>
    </row>
    <row r="3652" spans="1:23" x14ac:dyDescent="0.3">
      <c r="A3652">
        <v>1525086</v>
      </c>
      <c r="B3652">
        <v>127.62</v>
      </c>
      <c r="C3652" t="s">
        <v>100</v>
      </c>
      <c r="E3652" t="s">
        <v>49</v>
      </c>
      <c r="F3652" t="s">
        <v>106</v>
      </c>
      <c r="G3652">
        <v>2010</v>
      </c>
      <c r="H3652" t="s">
        <v>98</v>
      </c>
      <c r="I3652" t="s">
        <v>8814</v>
      </c>
      <c r="K3652" t="s">
        <v>25</v>
      </c>
      <c r="L3652" t="s">
        <v>30</v>
      </c>
      <c r="M3652" t="b">
        <v>1</v>
      </c>
      <c r="N3652" t="s">
        <v>8815</v>
      </c>
      <c r="O3652" t="str">
        <f>"227/.4077"</f>
        <v>227/.4077</v>
      </c>
      <c r="P3652" t="s">
        <v>8581</v>
      </c>
      <c r="Q3652" t="b">
        <v>0</v>
      </c>
      <c r="S3652" t="str">
        <f>"9780310243724"</f>
        <v>9780310243724</v>
      </c>
      <c r="T3652" t="str">
        <f>"9780310492160"</f>
        <v>9780310492160</v>
      </c>
      <c r="U3652" t="b">
        <v>0</v>
      </c>
      <c r="W3652" t="b">
        <v>0</v>
      </c>
    </row>
    <row r="3653" spans="1:23" x14ac:dyDescent="0.3">
      <c r="A3653">
        <v>1525085</v>
      </c>
      <c r="B3653">
        <v>79.319999999999993</v>
      </c>
      <c r="C3653" t="s">
        <v>8816</v>
      </c>
      <c r="D3653" t="s">
        <v>8817</v>
      </c>
      <c r="E3653" t="s">
        <v>49</v>
      </c>
      <c r="F3653" t="s">
        <v>44</v>
      </c>
      <c r="G3653">
        <v>2014</v>
      </c>
      <c r="H3653" t="s">
        <v>107</v>
      </c>
      <c r="I3653" t="s">
        <v>6563</v>
      </c>
      <c r="J3653" t="s">
        <v>8818</v>
      </c>
      <c r="K3653" t="s">
        <v>25</v>
      </c>
      <c r="L3653" t="s">
        <v>30</v>
      </c>
      <c r="M3653" t="b">
        <v>1</v>
      </c>
      <c r="N3653" t="s">
        <v>8819</v>
      </c>
      <c r="O3653" t="str">
        <f>"277.3/083"</f>
        <v>277.3/083</v>
      </c>
      <c r="Q3653" t="b">
        <v>0</v>
      </c>
      <c r="S3653" t="str">
        <f>"9780310515968"</f>
        <v>9780310515968</v>
      </c>
      <c r="T3653" t="str">
        <f>"9780310515975"</f>
        <v>9780310515975</v>
      </c>
      <c r="U3653" t="b">
        <v>0</v>
      </c>
      <c r="W3653" t="b">
        <v>0</v>
      </c>
    </row>
    <row r="3654" spans="1:23" x14ac:dyDescent="0.3">
      <c r="A3654">
        <v>1525084</v>
      </c>
      <c r="B3654">
        <v>51.72</v>
      </c>
      <c r="C3654" t="s">
        <v>8820</v>
      </c>
      <c r="D3654" t="s">
        <v>8821</v>
      </c>
      <c r="E3654" t="s">
        <v>49</v>
      </c>
      <c r="F3654" t="s">
        <v>44</v>
      </c>
      <c r="G3654">
        <v>2010</v>
      </c>
      <c r="H3654" t="s">
        <v>893</v>
      </c>
      <c r="K3654" t="s">
        <v>25</v>
      </c>
      <c r="L3654" t="s">
        <v>30</v>
      </c>
      <c r="M3654" t="b">
        <v>1</v>
      </c>
      <c r="N3654" t="s">
        <v>8822</v>
      </c>
      <c r="Q3654" t="b">
        <v>0</v>
      </c>
      <c r="S3654" t="str">
        <f>"9780310265047"</f>
        <v>9780310265047</v>
      </c>
      <c r="T3654" t="str">
        <f>"9780310872184"</f>
        <v>9780310872184</v>
      </c>
      <c r="U3654" t="b">
        <v>0</v>
      </c>
      <c r="W3654" t="b">
        <v>0</v>
      </c>
    </row>
    <row r="3655" spans="1:23" x14ac:dyDescent="0.3">
      <c r="A3655">
        <v>1525034</v>
      </c>
      <c r="B3655">
        <v>103.47</v>
      </c>
      <c r="C3655" t="s">
        <v>8823</v>
      </c>
      <c r="D3655" t="s">
        <v>8824</v>
      </c>
      <c r="E3655" t="s">
        <v>23</v>
      </c>
      <c r="F3655" t="s">
        <v>44</v>
      </c>
      <c r="G3655">
        <v>2008</v>
      </c>
      <c r="H3655" t="s">
        <v>3527</v>
      </c>
      <c r="I3655" t="s">
        <v>8825</v>
      </c>
      <c r="J3655" t="s">
        <v>8826</v>
      </c>
      <c r="K3655" t="s">
        <v>25</v>
      </c>
      <c r="L3655" t="s">
        <v>30</v>
      </c>
      <c r="M3655" t="b">
        <v>1</v>
      </c>
      <c r="N3655" t="s">
        <v>8827</v>
      </c>
      <c r="O3655" t="str">
        <f>"251/.08"</f>
        <v>251/.08</v>
      </c>
      <c r="Q3655" t="b">
        <v>0</v>
      </c>
      <c r="S3655" t="str">
        <f>"9780310280378"</f>
        <v>9780310280378</v>
      </c>
      <c r="T3655" t="str">
        <f>"9780310320548"</f>
        <v>9780310320548</v>
      </c>
      <c r="U3655" t="b">
        <v>0</v>
      </c>
      <c r="W3655" t="b">
        <v>0</v>
      </c>
    </row>
    <row r="3656" spans="1:23" x14ac:dyDescent="0.3">
      <c r="A3656">
        <v>1525012</v>
      </c>
      <c r="B3656">
        <v>58.62</v>
      </c>
      <c r="C3656" t="s">
        <v>8829</v>
      </c>
      <c r="D3656" t="s">
        <v>8830</v>
      </c>
      <c r="E3656" t="s">
        <v>49</v>
      </c>
      <c r="F3656" t="s">
        <v>44</v>
      </c>
      <c r="G3656">
        <v>2010</v>
      </c>
      <c r="H3656" t="s">
        <v>50</v>
      </c>
      <c r="I3656" t="s">
        <v>7151</v>
      </c>
      <c r="J3656" t="s">
        <v>8831</v>
      </c>
      <c r="K3656" t="s">
        <v>25</v>
      </c>
      <c r="L3656" t="s">
        <v>26</v>
      </c>
      <c r="M3656" t="b">
        <v>1</v>
      </c>
      <c r="N3656" t="s">
        <v>7171</v>
      </c>
      <c r="O3656" t="str">
        <f>"259/.23"</f>
        <v>259/.23</v>
      </c>
      <c r="Q3656" t="b">
        <v>0</v>
      </c>
      <c r="S3656" t="str">
        <f>"9780310670292"</f>
        <v>9780310670292</v>
      </c>
      <c r="T3656" t="str">
        <f>"9780310296577"</f>
        <v>9780310296577</v>
      </c>
      <c r="U3656" t="b">
        <v>0</v>
      </c>
      <c r="V3656" t="s">
        <v>8832</v>
      </c>
      <c r="W3656" t="b">
        <v>0</v>
      </c>
    </row>
    <row r="3657" spans="1:23" x14ac:dyDescent="0.3">
      <c r="A3657">
        <v>1525011</v>
      </c>
      <c r="B3657">
        <v>35.5</v>
      </c>
      <c r="C3657" t="s">
        <v>8833</v>
      </c>
      <c r="E3657" t="s">
        <v>49</v>
      </c>
      <c r="F3657" t="s">
        <v>44</v>
      </c>
      <c r="G3657">
        <v>2013</v>
      </c>
      <c r="H3657" t="s">
        <v>50</v>
      </c>
      <c r="I3657" t="s">
        <v>8834</v>
      </c>
      <c r="J3657" t="s">
        <v>7190</v>
      </c>
      <c r="K3657" t="s">
        <v>25</v>
      </c>
      <c r="L3657" t="s">
        <v>30</v>
      </c>
      <c r="M3657" t="b">
        <v>1</v>
      </c>
      <c r="N3657" t="s">
        <v>7153</v>
      </c>
      <c r="O3657" t="str">
        <f>"220.071/2"</f>
        <v>220.071/2</v>
      </c>
      <c r="P3657" t="s">
        <v>8835</v>
      </c>
      <c r="Q3657" t="b">
        <v>0</v>
      </c>
      <c r="S3657" t="str">
        <f>"9780310670797"</f>
        <v>9780310670797</v>
      </c>
      <c r="T3657" t="str">
        <f>"9780310586708"</f>
        <v>9780310586708</v>
      </c>
      <c r="U3657" t="b">
        <v>0</v>
      </c>
      <c r="W3657" t="b">
        <v>0</v>
      </c>
    </row>
    <row r="3658" spans="1:23" x14ac:dyDescent="0.3">
      <c r="A3658">
        <v>1525010</v>
      </c>
      <c r="B3658">
        <v>35.5</v>
      </c>
      <c r="C3658" t="s">
        <v>8836</v>
      </c>
      <c r="E3658" t="s">
        <v>49</v>
      </c>
      <c r="F3658" t="s">
        <v>44</v>
      </c>
      <c r="G3658">
        <v>2012</v>
      </c>
      <c r="H3658" t="s">
        <v>50</v>
      </c>
      <c r="I3658" t="s">
        <v>8837</v>
      </c>
      <c r="J3658" t="s">
        <v>8838</v>
      </c>
      <c r="K3658" t="s">
        <v>25</v>
      </c>
      <c r="L3658" t="s">
        <v>30</v>
      </c>
      <c r="M3658" t="b">
        <v>1</v>
      </c>
      <c r="N3658" t="s">
        <v>7153</v>
      </c>
      <c r="O3658" t="str">
        <f>"259/.23"</f>
        <v>259/.23</v>
      </c>
      <c r="P3658" t="s">
        <v>8835</v>
      </c>
      <c r="Q3658" t="b">
        <v>0</v>
      </c>
      <c r="S3658" t="str">
        <f>"9780310670810"</f>
        <v>9780310670810</v>
      </c>
      <c r="T3658" t="str">
        <f>"9780310589549"</f>
        <v>9780310589549</v>
      </c>
      <c r="U3658" t="b">
        <v>0</v>
      </c>
      <c r="W3658" t="b">
        <v>0</v>
      </c>
    </row>
    <row r="3659" spans="1:23" x14ac:dyDescent="0.3">
      <c r="A3659">
        <v>1525009</v>
      </c>
      <c r="B3659">
        <v>44.82</v>
      </c>
      <c r="C3659" t="s">
        <v>8839</v>
      </c>
      <c r="E3659" t="s">
        <v>49</v>
      </c>
      <c r="F3659" t="s">
        <v>44</v>
      </c>
      <c r="G3659">
        <v>2012</v>
      </c>
      <c r="H3659" t="s">
        <v>50</v>
      </c>
      <c r="I3659" t="s">
        <v>7151</v>
      </c>
      <c r="J3659" t="s">
        <v>8840</v>
      </c>
      <c r="K3659" t="s">
        <v>25</v>
      </c>
      <c r="L3659" t="s">
        <v>30</v>
      </c>
      <c r="M3659" t="b">
        <v>1</v>
      </c>
      <c r="N3659" t="s">
        <v>7153</v>
      </c>
      <c r="O3659" t="str">
        <f>"259.23"</f>
        <v>259.23</v>
      </c>
      <c r="P3659" t="s">
        <v>8835</v>
      </c>
      <c r="Q3659" t="b">
        <v>0</v>
      </c>
      <c r="S3659" t="str">
        <f>"9780310670766"</f>
        <v>9780310670766</v>
      </c>
      <c r="T3659" t="str">
        <f>"9780310578925"</f>
        <v>9780310578925</v>
      </c>
      <c r="U3659" t="b">
        <v>0</v>
      </c>
      <c r="W3659" t="b">
        <v>0</v>
      </c>
    </row>
    <row r="3660" spans="1:23" x14ac:dyDescent="0.3">
      <c r="A3660">
        <v>1525008</v>
      </c>
      <c r="B3660">
        <v>44.82</v>
      </c>
      <c r="C3660" t="s">
        <v>8841</v>
      </c>
      <c r="E3660" t="s">
        <v>49</v>
      </c>
      <c r="F3660" t="s">
        <v>44</v>
      </c>
      <c r="G3660">
        <v>2012</v>
      </c>
      <c r="H3660" t="s">
        <v>50</v>
      </c>
      <c r="I3660" t="s">
        <v>8842</v>
      </c>
      <c r="J3660" t="s">
        <v>895</v>
      </c>
      <c r="K3660" t="s">
        <v>25</v>
      </c>
      <c r="L3660" t="s">
        <v>30</v>
      </c>
      <c r="M3660" t="b">
        <v>1</v>
      </c>
      <c r="N3660" t="s">
        <v>7153</v>
      </c>
      <c r="O3660" t="str">
        <f>"259/.23"</f>
        <v>259/.23</v>
      </c>
      <c r="P3660" t="s">
        <v>8835</v>
      </c>
      <c r="Q3660" t="b">
        <v>0</v>
      </c>
      <c r="S3660" t="str">
        <f>"9780310670780"</f>
        <v>9780310670780</v>
      </c>
      <c r="T3660" t="str">
        <f>"9780310586647"</f>
        <v>9780310586647</v>
      </c>
      <c r="U3660" t="b">
        <v>0</v>
      </c>
      <c r="W3660" t="b">
        <v>0</v>
      </c>
    </row>
    <row r="3661" spans="1:23" x14ac:dyDescent="0.3">
      <c r="A3661">
        <v>1525007</v>
      </c>
      <c r="B3661">
        <v>99.46</v>
      </c>
      <c r="C3661" t="s">
        <v>8843</v>
      </c>
      <c r="D3661" t="s">
        <v>8844</v>
      </c>
      <c r="E3661" t="s">
        <v>49</v>
      </c>
      <c r="F3661" t="s">
        <v>44</v>
      </c>
      <c r="G3661">
        <v>2010</v>
      </c>
      <c r="H3661" t="s">
        <v>50</v>
      </c>
      <c r="I3661" t="s">
        <v>8845</v>
      </c>
      <c r="J3661" t="s">
        <v>8846</v>
      </c>
      <c r="K3661" t="s">
        <v>25</v>
      </c>
      <c r="L3661" t="s">
        <v>30</v>
      </c>
      <c r="M3661" t="b">
        <v>1</v>
      </c>
      <c r="N3661" t="s">
        <v>8847</v>
      </c>
      <c r="O3661" t="str">
        <f>"305.23"</f>
        <v>305.23</v>
      </c>
      <c r="Q3661" t="b">
        <v>0</v>
      </c>
      <c r="S3661" t="str">
        <f>"9780310292944"</f>
        <v>9780310292944</v>
      </c>
      <c r="T3661" t="str">
        <f>"9780310395928"</f>
        <v>9780310395928</v>
      </c>
      <c r="U3661" t="b">
        <v>0</v>
      </c>
      <c r="W3661" t="b">
        <v>0</v>
      </c>
    </row>
    <row r="3662" spans="1:23" x14ac:dyDescent="0.3">
      <c r="A3662">
        <v>1525006</v>
      </c>
      <c r="B3662">
        <v>35.5</v>
      </c>
      <c r="C3662" t="s">
        <v>8848</v>
      </c>
      <c r="E3662" t="s">
        <v>49</v>
      </c>
      <c r="F3662" t="s">
        <v>106</v>
      </c>
      <c r="G3662">
        <v>2010</v>
      </c>
      <c r="H3662" t="s">
        <v>7908</v>
      </c>
      <c r="K3662" t="s">
        <v>25</v>
      </c>
      <c r="L3662" t="s">
        <v>30</v>
      </c>
      <c r="M3662" t="b">
        <v>1</v>
      </c>
      <c r="N3662" t="s">
        <v>6734</v>
      </c>
      <c r="Q3662" t="b">
        <v>0</v>
      </c>
      <c r="S3662" t="str">
        <f>"9780310251958"</f>
        <v>9780310251958</v>
      </c>
      <c r="T3662" t="str">
        <f>"9780310874423"</f>
        <v>9780310874423</v>
      </c>
      <c r="U3662" t="b">
        <v>0</v>
      </c>
      <c r="W3662" t="b">
        <v>0</v>
      </c>
    </row>
    <row r="3663" spans="1:23" x14ac:dyDescent="0.3">
      <c r="A3663">
        <v>1525005</v>
      </c>
      <c r="B3663">
        <v>92.36</v>
      </c>
      <c r="C3663" t="s">
        <v>8849</v>
      </c>
      <c r="E3663" t="s">
        <v>49</v>
      </c>
      <c r="F3663" t="s">
        <v>44</v>
      </c>
      <c r="G3663">
        <v>1992</v>
      </c>
      <c r="H3663" t="s">
        <v>859</v>
      </c>
      <c r="I3663" t="s">
        <v>8850</v>
      </c>
      <c r="K3663" t="s">
        <v>25</v>
      </c>
      <c r="L3663" t="s">
        <v>30</v>
      </c>
      <c r="M3663" t="b">
        <v>1</v>
      </c>
      <c r="N3663" t="s">
        <v>8851</v>
      </c>
      <c r="O3663" t="str">
        <f>"220.77"</f>
        <v>220.77</v>
      </c>
      <c r="P3663" t="s">
        <v>8852</v>
      </c>
      <c r="Q3663" t="b">
        <v>0</v>
      </c>
      <c r="S3663" t="str">
        <f>"9780310260400"</f>
        <v>9780310260400</v>
      </c>
      <c r="T3663" t="str">
        <f>"9780310874409"</f>
        <v>9780310874409</v>
      </c>
      <c r="U3663" t="b">
        <v>0</v>
      </c>
      <c r="W3663" t="b">
        <v>0</v>
      </c>
    </row>
    <row r="3664" spans="1:23" x14ac:dyDescent="0.3">
      <c r="A3664">
        <v>1525004</v>
      </c>
      <c r="B3664">
        <v>206.97</v>
      </c>
      <c r="C3664" t="s">
        <v>8853</v>
      </c>
      <c r="E3664" t="s">
        <v>49</v>
      </c>
      <c r="F3664" t="s">
        <v>44</v>
      </c>
      <c r="G3664">
        <v>2011</v>
      </c>
      <c r="H3664" t="s">
        <v>7908</v>
      </c>
      <c r="I3664" t="s">
        <v>8854</v>
      </c>
      <c r="K3664" t="s">
        <v>25</v>
      </c>
      <c r="L3664" t="s">
        <v>26</v>
      </c>
      <c r="M3664" t="b">
        <v>1</v>
      </c>
      <c r="N3664" t="s">
        <v>8855</v>
      </c>
      <c r="O3664" t="str">
        <f>"220.3"</f>
        <v>220.3</v>
      </c>
      <c r="Q3664" t="b">
        <v>0</v>
      </c>
      <c r="S3664" t="str">
        <f>"9780310229834"</f>
        <v>9780310229834</v>
      </c>
      <c r="T3664" t="str">
        <f>"9780310492351"</f>
        <v>9780310492351</v>
      </c>
      <c r="U3664" t="b">
        <v>0</v>
      </c>
      <c r="V3664" t="s">
        <v>8856</v>
      </c>
      <c r="W3664" t="b">
        <v>0</v>
      </c>
    </row>
    <row r="3665" spans="1:23" x14ac:dyDescent="0.3">
      <c r="A3665">
        <v>1525003</v>
      </c>
      <c r="B3665">
        <v>85.25</v>
      </c>
      <c r="C3665" t="s">
        <v>8857</v>
      </c>
      <c r="E3665" t="s">
        <v>49</v>
      </c>
      <c r="F3665" t="s">
        <v>106</v>
      </c>
      <c r="G3665">
        <v>2011</v>
      </c>
      <c r="H3665" t="s">
        <v>7908</v>
      </c>
      <c r="I3665" t="s">
        <v>8858</v>
      </c>
      <c r="J3665" t="s">
        <v>8859</v>
      </c>
      <c r="K3665" t="s">
        <v>25</v>
      </c>
      <c r="L3665" t="s">
        <v>26</v>
      </c>
      <c r="M3665" t="b">
        <v>1</v>
      </c>
      <c r="N3665" t="s">
        <v>8059</v>
      </c>
      <c r="O3665" t="str">
        <f>"220.6/403"</f>
        <v>220.6/403</v>
      </c>
      <c r="Q3665" t="b">
        <v>0</v>
      </c>
      <c r="S3665" t="str">
        <f>"9780310292852"</f>
        <v>9780310292852</v>
      </c>
      <c r="T3665" t="str">
        <f>"9780310492252"</f>
        <v>9780310492252</v>
      </c>
      <c r="U3665" t="b">
        <v>0</v>
      </c>
      <c r="W3665" t="b">
        <v>0</v>
      </c>
    </row>
    <row r="3666" spans="1:23" x14ac:dyDescent="0.3">
      <c r="A3666">
        <v>1525002</v>
      </c>
      <c r="B3666">
        <v>58.62</v>
      </c>
      <c r="C3666" t="s">
        <v>8860</v>
      </c>
      <c r="E3666" t="s">
        <v>23</v>
      </c>
      <c r="F3666" t="s">
        <v>106</v>
      </c>
      <c r="G3666">
        <v>2002</v>
      </c>
      <c r="H3666" t="s">
        <v>881</v>
      </c>
      <c r="I3666" t="s">
        <v>8861</v>
      </c>
      <c r="J3666" t="s">
        <v>8862</v>
      </c>
      <c r="K3666" t="s">
        <v>25</v>
      </c>
      <c r="L3666" t="s">
        <v>30</v>
      </c>
      <c r="M3666" t="b">
        <v>1</v>
      </c>
      <c r="N3666" t="s">
        <v>8863</v>
      </c>
      <c r="O3666" t="str">
        <f>"220.3"</f>
        <v>220.3</v>
      </c>
      <c r="Q3666" t="b">
        <v>0</v>
      </c>
      <c r="S3666" t="str">
        <f>"9780310240341"</f>
        <v>9780310240341</v>
      </c>
      <c r="T3666" t="str">
        <f>"9780310867111"</f>
        <v>9780310867111</v>
      </c>
      <c r="U3666" t="b">
        <v>0</v>
      </c>
      <c r="W3666" t="b">
        <v>0</v>
      </c>
    </row>
    <row r="3667" spans="1:23" x14ac:dyDescent="0.3">
      <c r="A3667">
        <v>1525001</v>
      </c>
      <c r="B3667">
        <v>56.82</v>
      </c>
      <c r="C3667" t="s">
        <v>8864</v>
      </c>
      <c r="E3667" t="s">
        <v>49</v>
      </c>
      <c r="F3667" t="s">
        <v>44</v>
      </c>
      <c r="G3667">
        <v>2008</v>
      </c>
      <c r="H3667" t="s">
        <v>7908</v>
      </c>
      <c r="I3667" t="s">
        <v>8558</v>
      </c>
      <c r="K3667" t="s">
        <v>25</v>
      </c>
      <c r="L3667" t="s">
        <v>30</v>
      </c>
      <c r="M3667" t="b">
        <v>1</v>
      </c>
      <c r="N3667" t="s">
        <v>8865</v>
      </c>
      <c r="O3667" t="str">
        <f>"220.3"</f>
        <v>220.3</v>
      </c>
      <c r="Q3667" t="b">
        <v>0</v>
      </c>
      <c r="S3667" t="str">
        <f>"9780310293040"</f>
        <v>9780310293040</v>
      </c>
      <c r="T3667" t="str">
        <f>"9780310590705"</f>
        <v>9780310590705</v>
      </c>
      <c r="U3667" t="b">
        <v>0</v>
      </c>
      <c r="W3667" t="b">
        <v>0</v>
      </c>
    </row>
    <row r="3668" spans="1:23" x14ac:dyDescent="0.3">
      <c r="A3668">
        <v>1525000</v>
      </c>
      <c r="B3668">
        <v>56.82</v>
      </c>
      <c r="C3668" t="s">
        <v>8866</v>
      </c>
      <c r="E3668" t="s">
        <v>23</v>
      </c>
      <c r="F3668" t="s">
        <v>44</v>
      </c>
      <c r="G3668">
        <v>2009</v>
      </c>
      <c r="H3668" t="s">
        <v>881</v>
      </c>
      <c r="I3668" t="s">
        <v>8558</v>
      </c>
      <c r="J3668" t="s">
        <v>895</v>
      </c>
      <c r="K3668" t="s">
        <v>25</v>
      </c>
      <c r="L3668" t="s">
        <v>30</v>
      </c>
      <c r="M3668" t="b">
        <v>1</v>
      </c>
      <c r="N3668" t="s">
        <v>8867</v>
      </c>
      <c r="O3668" t="str">
        <f>"220.5/20813"</f>
        <v>220.5/20813</v>
      </c>
      <c r="Q3668" t="b">
        <v>0</v>
      </c>
      <c r="T3668" t="str">
        <f>"9780310590699"</f>
        <v>9780310590699</v>
      </c>
      <c r="U3668" t="b">
        <v>0</v>
      </c>
      <c r="W3668" t="b">
        <v>0</v>
      </c>
    </row>
    <row r="3669" spans="1:23" x14ac:dyDescent="0.3">
      <c r="A3669">
        <v>1524999</v>
      </c>
      <c r="B3669">
        <v>113.68</v>
      </c>
      <c r="C3669" t="s">
        <v>8868</v>
      </c>
      <c r="D3669" t="s">
        <v>8869</v>
      </c>
      <c r="E3669" t="s">
        <v>49</v>
      </c>
      <c r="F3669" t="s">
        <v>44</v>
      </c>
      <c r="G3669">
        <v>2014</v>
      </c>
      <c r="H3669" t="s">
        <v>50</v>
      </c>
      <c r="I3669" t="s">
        <v>8870</v>
      </c>
      <c r="J3669" t="s">
        <v>7441</v>
      </c>
      <c r="K3669" t="s">
        <v>25</v>
      </c>
      <c r="L3669" t="s">
        <v>26</v>
      </c>
      <c r="M3669" t="b">
        <v>1</v>
      </c>
      <c r="N3669" t="s">
        <v>8871</v>
      </c>
      <c r="O3669" t="str">
        <f>"259/.23"</f>
        <v>259/.23</v>
      </c>
      <c r="Q3669" t="b">
        <v>0</v>
      </c>
      <c r="S3669" t="str">
        <f>"9780310516859"</f>
        <v>9780310516859</v>
      </c>
      <c r="T3669" t="str">
        <f>"9780310516866"</f>
        <v>9780310516866</v>
      </c>
      <c r="U3669" t="b">
        <v>0</v>
      </c>
      <c r="W3669" t="b">
        <v>0</v>
      </c>
    </row>
    <row r="3670" spans="1:23" x14ac:dyDescent="0.3">
      <c r="A3670">
        <v>1524998</v>
      </c>
      <c r="B3670">
        <v>68.97</v>
      </c>
      <c r="C3670" t="s">
        <v>8872</v>
      </c>
      <c r="E3670" t="s">
        <v>49</v>
      </c>
      <c r="F3670" t="s">
        <v>44</v>
      </c>
      <c r="G3670">
        <v>2009</v>
      </c>
      <c r="H3670" t="s">
        <v>1044</v>
      </c>
      <c r="I3670" t="s">
        <v>8873</v>
      </c>
      <c r="J3670" t="s">
        <v>8874</v>
      </c>
      <c r="K3670" t="s">
        <v>25</v>
      </c>
      <c r="L3670" t="s">
        <v>30</v>
      </c>
      <c r="M3670" t="b">
        <v>1</v>
      </c>
      <c r="N3670" t="s">
        <v>8409</v>
      </c>
      <c r="O3670" t="str">
        <f>"264"</f>
        <v>264</v>
      </c>
      <c r="Q3670" t="b">
        <v>0</v>
      </c>
      <c r="S3670" t="str">
        <f>"9780310479901"</f>
        <v>9780310479901</v>
      </c>
      <c r="T3670" t="str">
        <f>"9780310835127"</f>
        <v>9780310835127</v>
      </c>
      <c r="U3670" t="b">
        <v>0</v>
      </c>
      <c r="W3670" t="b">
        <v>0</v>
      </c>
    </row>
    <row r="3671" spans="1:23" x14ac:dyDescent="0.3">
      <c r="A3671">
        <v>1524997</v>
      </c>
      <c r="B3671">
        <v>58.62</v>
      </c>
      <c r="C3671" t="s">
        <v>8875</v>
      </c>
      <c r="E3671" t="s">
        <v>49</v>
      </c>
      <c r="F3671" t="s">
        <v>44</v>
      </c>
      <c r="G3671">
        <v>2010</v>
      </c>
      <c r="H3671" t="s">
        <v>756</v>
      </c>
      <c r="I3671" t="s">
        <v>8876</v>
      </c>
      <c r="J3671" t="s">
        <v>8877</v>
      </c>
      <c r="K3671" t="s">
        <v>25</v>
      </c>
      <c r="L3671" t="s">
        <v>30</v>
      </c>
      <c r="M3671" t="b">
        <v>1</v>
      </c>
      <c r="N3671" t="s">
        <v>8878</v>
      </c>
      <c r="O3671" t="str">
        <f>"264"</f>
        <v>264</v>
      </c>
      <c r="Q3671" t="b">
        <v>0</v>
      </c>
      <c r="S3671" t="str">
        <f>"9780310216254"</f>
        <v>9780310216254</v>
      </c>
      <c r="T3671" t="str">
        <f>"9780310874294"</f>
        <v>9780310874294</v>
      </c>
      <c r="U3671" t="b">
        <v>0</v>
      </c>
      <c r="V3671" t="s">
        <v>2872</v>
      </c>
      <c r="W3671" t="b">
        <v>0</v>
      </c>
    </row>
    <row r="3672" spans="1:23" x14ac:dyDescent="0.3">
      <c r="A3672">
        <v>1524996</v>
      </c>
      <c r="B3672">
        <v>58.62</v>
      </c>
      <c r="C3672" t="s">
        <v>8879</v>
      </c>
      <c r="D3672" t="s">
        <v>8880</v>
      </c>
      <c r="E3672" t="s">
        <v>49</v>
      </c>
      <c r="F3672" t="s">
        <v>106</v>
      </c>
      <c r="G3672">
        <v>2010</v>
      </c>
      <c r="H3672" t="s">
        <v>71</v>
      </c>
      <c r="I3672" t="s">
        <v>8881</v>
      </c>
      <c r="J3672" t="s">
        <v>8882</v>
      </c>
      <c r="K3672" t="s">
        <v>25</v>
      </c>
      <c r="L3672" t="s">
        <v>26</v>
      </c>
      <c r="M3672" t="b">
        <v>1</v>
      </c>
      <c r="N3672" t="s">
        <v>8883</v>
      </c>
      <c r="O3672" t="str">
        <f>"239"</f>
        <v>239</v>
      </c>
      <c r="Q3672" t="b">
        <v>0</v>
      </c>
      <c r="S3672" t="str">
        <f>"9780310577713"</f>
        <v>9780310577713</v>
      </c>
      <c r="T3672" t="str">
        <f>"9780310877226"</f>
        <v>9780310877226</v>
      </c>
      <c r="U3672" t="b">
        <v>0</v>
      </c>
      <c r="V3672" t="s">
        <v>7104</v>
      </c>
      <c r="W3672" t="b">
        <v>0</v>
      </c>
    </row>
    <row r="3673" spans="1:23" x14ac:dyDescent="0.3">
      <c r="A3673">
        <v>1524995</v>
      </c>
      <c r="B3673">
        <v>67.34</v>
      </c>
      <c r="C3673" t="s">
        <v>8884</v>
      </c>
      <c r="D3673" t="s">
        <v>8885</v>
      </c>
      <c r="E3673" t="s">
        <v>23</v>
      </c>
      <c r="F3673" t="s">
        <v>106</v>
      </c>
      <c r="G3673">
        <v>2010</v>
      </c>
      <c r="H3673" t="s">
        <v>2702</v>
      </c>
      <c r="I3673" t="s">
        <v>8886</v>
      </c>
      <c r="J3673" t="s">
        <v>8887</v>
      </c>
      <c r="K3673" t="s">
        <v>25</v>
      </c>
      <c r="L3673" t="s">
        <v>30</v>
      </c>
      <c r="M3673" t="b">
        <v>1</v>
      </c>
      <c r="N3673" t="s">
        <v>8673</v>
      </c>
      <c r="O3673" t="str">
        <f>"285/.9"</f>
        <v>285/.9</v>
      </c>
      <c r="Q3673" t="b">
        <v>0</v>
      </c>
      <c r="S3673" t="str">
        <f>"9780310325000"</f>
        <v>9780310325000</v>
      </c>
      <c r="T3673" t="str">
        <f>"9780310874287"</f>
        <v>9780310874287</v>
      </c>
      <c r="U3673" t="b">
        <v>0</v>
      </c>
      <c r="V3673" t="s">
        <v>7104</v>
      </c>
      <c r="W3673" t="b">
        <v>0</v>
      </c>
    </row>
    <row r="3674" spans="1:23" x14ac:dyDescent="0.3">
      <c r="A3674">
        <v>1524994</v>
      </c>
      <c r="B3674">
        <v>44.82</v>
      </c>
      <c r="C3674" t="s">
        <v>8888</v>
      </c>
      <c r="D3674" t="s">
        <v>8889</v>
      </c>
      <c r="E3674" t="s">
        <v>23</v>
      </c>
      <c r="F3674" t="s">
        <v>106</v>
      </c>
      <c r="G3674">
        <v>2010</v>
      </c>
      <c r="H3674" t="s">
        <v>3423</v>
      </c>
      <c r="I3674" t="s">
        <v>8812</v>
      </c>
      <c r="J3674" t="s">
        <v>8890</v>
      </c>
      <c r="K3674" t="s">
        <v>25</v>
      </c>
      <c r="L3674" t="s">
        <v>30</v>
      </c>
      <c r="M3674" t="b">
        <v>1</v>
      </c>
      <c r="N3674" t="s">
        <v>8891</v>
      </c>
      <c r="O3674" t="str">
        <f>"221.92"</f>
        <v>221.92</v>
      </c>
      <c r="Q3674" t="b">
        <v>0</v>
      </c>
      <c r="S3674" t="str">
        <f>"9780310367611"</f>
        <v>9780310367611</v>
      </c>
      <c r="T3674" t="str">
        <f>"9780310864875"</f>
        <v>9780310864875</v>
      </c>
      <c r="U3674" t="b">
        <v>0</v>
      </c>
      <c r="W3674" t="b">
        <v>0</v>
      </c>
    </row>
    <row r="3675" spans="1:23" x14ac:dyDescent="0.3">
      <c r="A3675">
        <v>1524993</v>
      </c>
      <c r="B3675">
        <v>68.97</v>
      </c>
      <c r="C3675" t="s">
        <v>8892</v>
      </c>
      <c r="D3675" t="s">
        <v>8893</v>
      </c>
      <c r="E3675" t="s">
        <v>49</v>
      </c>
      <c r="F3675" t="s">
        <v>106</v>
      </c>
      <c r="G3675">
        <v>2009</v>
      </c>
      <c r="H3675" t="s">
        <v>1032</v>
      </c>
      <c r="I3675" t="s">
        <v>8894</v>
      </c>
      <c r="J3675" t="s">
        <v>8895</v>
      </c>
      <c r="K3675" t="s">
        <v>25</v>
      </c>
      <c r="L3675" t="s">
        <v>30</v>
      </c>
      <c r="M3675" t="b">
        <v>1</v>
      </c>
      <c r="N3675" t="s">
        <v>8896</v>
      </c>
      <c r="O3675" t="str">
        <f>"190"</f>
        <v>190</v>
      </c>
      <c r="Q3675" t="b">
        <v>0</v>
      </c>
      <c r="S3675" t="str">
        <f>"9780310292302"</f>
        <v>9780310292302</v>
      </c>
      <c r="T3675" t="str">
        <f>"9780310323549"</f>
        <v>9780310323549</v>
      </c>
      <c r="U3675" t="b">
        <v>0</v>
      </c>
      <c r="W3675" t="b">
        <v>0</v>
      </c>
    </row>
    <row r="3676" spans="1:23" x14ac:dyDescent="0.3">
      <c r="A3676">
        <v>1524992</v>
      </c>
      <c r="B3676">
        <v>93.12</v>
      </c>
      <c r="C3676" t="s">
        <v>8897</v>
      </c>
      <c r="D3676" t="s">
        <v>8898</v>
      </c>
      <c r="E3676" t="s">
        <v>49</v>
      </c>
      <c r="F3676" t="s">
        <v>106</v>
      </c>
      <c r="G3676">
        <v>2011</v>
      </c>
      <c r="H3676" t="s">
        <v>1261</v>
      </c>
      <c r="I3676" t="s">
        <v>8899</v>
      </c>
      <c r="J3676" t="s">
        <v>8900</v>
      </c>
      <c r="K3676" t="s">
        <v>25</v>
      </c>
      <c r="L3676" t="s">
        <v>26</v>
      </c>
      <c r="M3676" t="b">
        <v>1</v>
      </c>
      <c r="N3676" t="s">
        <v>8901</v>
      </c>
      <c r="O3676" t="str">
        <f>"174.2"</f>
        <v>174.2</v>
      </c>
      <c r="Q3676" t="b">
        <v>0</v>
      </c>
      <c r="S3676" t="str">
        <f>"9780310328520"</f>
        <v>9780310328520</v>
      </c>
      <c r="T3676" t="str">
        <f>"9780310493051"</f>
        <v>9780310493051</v>
      </c>
      <c r="U3676" t="b">
        <v>0</v>
      </c>
      <c r="W3676" t="b">
        <v>0</v>
      </c>
    </row>
    <row r="3677" spans="1:23" x14ac:dyDescent="0.3">
      <c r="A3677">
        <v>1524990</v>
      </c>
      <c r="B3677">
        <v>58.62</v>
      </c>
      <c r="C3677" t="s">
        <v>8902</v>
      </c>
      <c r="D3677" t="s">
        <v>8903</v>
      </c>
      <c r="E3677" t="s">
        <v>49</v>
      </c>
      <c r="F3677" t="s">
        <v>44</v>
      </c>
      <c r="G3677">
        <v>2003</v>
      </c>
      <c r="H3677" t="s">
        <v>76</v>
      </c>
      <c r="I3677" t="s">
        <v>8904</v>
      </c>
      <c r="J3677" t="s">
        <v>6411</v>
      </c>
      <c r="K3677" t="s">
        <v>25</v>
      </c>
      <c r="L3677" t="s">
        <v>30</v>
      </c>
      <c r="M3677" t="b">
        <v>1</v>
      </c>
      <c r="N3677" t="s">
        <v>5754</v>
      </c>
      <c r="O3677" t="str">
        <f>"248.843"</f>
        <v>248.843</v>
      </c>
      <c r="Q3677" t="b">
        <v>0</v>
      </c>
      <c r="S3677" t="str">
        <f>"9780310233091"</f>
        <v>9780310233091</v>
      </c>
      <c r="T3677" t="str">
        <f>"9780310864677"</f>
        <v>9780310864677</v>
      </c>
      <c r="U3677" t="b">
        <v>0</v>
      </c>
      <c r="W3677" t="b">
        <v>0</v>
      </c>
    </row>
    <row r="3678" spans="1:23" x14ac:dyDescent="0.3">
      <c r="A3678">
        <v>1524989</v>
      </c>
      <c r="B3678">
        <v>68.97</v>
      </c>
      <c r="C3678" t="s">
        <v>8905</v>
      </c>
      <c r="D3678" t="s">
        <v>6668</v>
      </c>
      <c r="E3678" t="s">
        <v>49</v>
      </c>
      <c r="F3678" t="s">
        <v>44</v>
      </c>
      <c r="G3678">
        <v>2013</v>
      </c>
      <c r="H3678" t="s">
        <v>736</v>
      </c>
      <c r="I3678" t="s">
        <v>8906</v>
      </c>
      <c r="J3678" t="s">
        <v>8907</v>
      </c>
      <c r="K3678" t="s">
        <v>25</v>
      </c>
      <c r="L3678" t="s">
        <v>26</v>
      </c>
      <c r="M3678" t="b">
        <v>1</v>
      </c>
      <c r="N3678" t="s">
        <v>6669</v>
      </c>
      <c r="O3678" t="str">
        <f>"248.4"</f>
        <v>248.4</v>
      </c>
      <c r="Q3678" t="b">
        <v>0</v>
      </c>
      <c r="S3678" t="str">
        <f>"9780310494225"</f>
        <v>9780310494225</v>
      </c>
      <c r="T3678" t="str">
        <f>"9780310494232"</f>
        <v>9780310494232</v>
      </c>
      <c r="U3678" t="b">
        <v>0</v>
      </c>
      <c r="W3678" t="b">
        <v>0</v>
      </c>
    </row>
    <row r="3679" spans="1:23" x14ac:dyDescent="0.3">
      <c r="A3679">
        <v>1524988</v>
      </c>
      <c r="B3679">
        <v>53.27</v>
      </c>
      <c r="C3679" t="s">
        <v>8908</v>
      </c>
      <c r="D3679" t="s">
        <v>8909</v>
      </c>
      <c r="E3679" t="s">
        <v>23</v>
      </c>
      <c r="F3679" t="s">
        <v>106</v>
      </c>
      <c r="G3679">
        <v>2009</v>
      </c>
      <c r="H3679" t="s">
        <v>71</v>
      </c>
      <c r="I3679" t="s">
        <v>8910</v>
      </c>
      <c r="J3679" t="s">
        <v>8911</v>
      </c>
      <c r="K3679" t="s">
        <v>25</v>
      </c>
      <c r="L3679" t="s">
        <v>26</v>
      </c>
      <c r="M3679" t="b">
        <v>1</v>
      </c>
      <c r="N3679" t="s">
        <v>8912</v>
      </c>
      <c r="O3679" t="str">
        <f>"231.4"</f>
        <v>231.4</v>
      </c>
      <c r="Q3679" t="b">
        <v>0</v>
      </c>
      <c r="S3679" t="str">
        <f>"9780310247692"</f>
        <v>9780310247692</v>
      </c>
      <c r="T3679" t="str">
        <f>"9780310867043"</f>
        <v>9780310867043</v>
      </c>
      <c r="U3679" t="b">
        <v>0</v>
      </c>
      <c r="W3679" t="b">
        <v>0</v>
      </c>
    </row>
    <row r="3680" spans="1:23" x14ac:dyDescent="0.3">
      <c r="A3680">
        <v>1524987</v>
      </c>
      <c r="B3680">
        <v>46.16</v>
      </c>
      <c r="C3680" t="s">
        <v>7242</v>
      </c>
      <c r="D3680" t="s">
        <v>7243</v>
      </c>
      <c r="E3680" t="s">
        <v>23</v>
      </c>
      <c r="F3680" t="s">
        <v>44</v>
      </c>
      <c r="G3680">
        <v>2010</v>
      </c>
      <c r="H3680" t="s">
        <v>107</v>
      </c>
      <c r="I3680" t="s">
        <v>7244</v>
      </c>
      <c r="J3680" t="s">
        <v>8913</v>
      </c>
      <c r="K3680" t="s">
        <v>25</v>
      </c>
      <c r="L3680" t="s">
        <v>30</v>
      </c>
      <c r="M3680" t="b">
        <v>1</v>
      </c>
      <c r="N3680" t="s">
        <v>7246</v>
      </c>
      <c r="O3680" t="str">
        <f>"248.8/408664"</f>
        <v>248.8/408664</v>
      </c>
      <c r="Q3680" t="b">
        <v>0</v>
      </c>
      <c r="S3680" t="str">
        <f>"9781458723949"</f>
        <v>9781458723949</v>
      </c>
      <c r="T3680" t="str">
        <f>"9780310591818"</f>
        <v>9780310591818</v>
      </c>
      <c r="U3680" t="b">
        <v>0</v>
      </c>
      <c r="V3680" t="s">
        <v>2872</v>
      </c>
      <c r="W3680" t="b">
        <v>0</v>
      </c>
    </row>
    <row r="3681" spans="1:23" x14ac:dyDescent="0.3">
      <c r="A3681">
        <v>1524986</v>
      </c>
      <c r="B3681">
        <v>86.22</v>
      </c>
      <c r="C3681" t="s">
        <v>2964</v>
      </c>
      <c r="D3681" t="s">
        <v>8914</v>
      </c>
      <c r="E3681" t="s">
        <v>49</v>
      </c>
      <c r="F3681" t="s">
        <v>44</v>
      </c>
      <c r="G3681">
        <v>2011</v>
      </c>
      <c r="H3681" t="s">
        <v>52</v>
      </c>
      <c r="I3681" t="s">
        <v>3748</v>
      </c>
      <c r="J3681" t="s">
        <v>8915</v>
      </c>
      <c r="K3681" t="s">
        <v>25</v>
      </c>
      <c r="L3681" t="s">
        <v>26</v>
      </c>
      <c r="M3681" t="b">
        <v>1</v>
      </c>
      <c r="N3681" t="s">
        <v>2966</v>
      </c>
      <c r="O3681" t="str">
        <f>"253.5"</f>
        <v>253.5</v>
      </c>
      <c r="Q3681" t="b">
        <v>0</v>
      </c>
      <c r="S3681" t="str">
        <f>"9780310329299"</f>
        <v>9780310329299</v>
      </c>
      <c r="T3681" t="str">
        <f>"9780310591917"</f>
        <v>9780310591917</v>
      </c>
      <c r="U3681" t="b">
        <v>0</v>
      </c>
      <c r="V3681" t="s">
        <v>8916</v>
      </c>
      <c r="W3681" t="b">
        <v>0</v>
      </c>
    </row>
    <row r="3682" spans="1:23" x14ac:dyDescent="0.3">
      <c r="A3682">
        <v>1524985</v>
      </c>
      <c r="B3682">
        <v>58.62</v>
      </c>
      <c r="C3682" t="s">
        <v>8917</v>
      </c>
      <c r="E3682" t="s">
        <v>23</v>
      </c>
      <c r="F3682" t="s">
        <v>44</v>
      </c>
      <c r="G3682">
        <v>2012</v>
      </c>
      <c r="H3682" t="s">
        <v>107</v>
      </c>
      <c r="I3682" t="s">
        <v>6391</v>
      </c>
      <c r="J3682" t="s">
        <v>8918</v>
      </c>
      <c r="K3682" t="s">
        <v>25</v>
      </c>
      <c r="L3682" t="s">
        <v>30</v>
      </c>
      <c r="M3682" t="b">
        <v>1</v>
      </c>
      <c r="N3682" t="s">
        <v>946</v>
      </c>
      <c r="O3682" t="str">
        <f>"261.70973"</f>
        <v>261.70973</v>
      </c>
      <c r="P3682" t="s">
        <v>8919</v>
      </c>
      <c r="Q3682" t="b">
        <v>0</v>
      </c>
      <c r="S3682" t="str">
        <f>"9780310495987"</f>
        <v>9780310495987</v>
      </c>
      <c r="T3682" t="str">
        <f>"9780310496021"</f>
        <v>9780310496021</v>
      </c>
      <c r="U3682" t="b">
        <v>0</v>
      </c>
      <c r="W3682" t="b">
        <v>0</v>
      </c>
    </row>
    <row r="3683" spans="1:23" x14ac:dyDescent="0.3">
      <c r="A3683">
        <v>1524984</v>
      </c>
      <c r="B3683">
        <v>65.52</v>
      </c>
      <c r="C3683" t="s">
        <v>8920</v>
      </c>
      <c r="E3683" t="s">
        <v>23</v>
      </c>
      <c r="F3683" t="s">
        <v>44</v>
      </c>
      <c r="G3683">
        <v>2012</v>
      </c>
      <c r="H3683" t="s">
        <v>107</v>
      </c>
      <c r="I3683" t="s">
        <v>8921</v>
      </c>
      <c r="J3683" t="s">
        <v>8922</v>
      </c>
      <c r="K3683" t="s">
        <v>25</v>
      </c>
      <c r="L3683" t="s">
        <v>30</v>
      </c>
      <c r="M3683" t="b">
        <v>1</v>
      </c>
      <c r="N3683" t="s">
        <v>946</v>
      </c>
      <c r="O3683" t="str">
        <f>"320.01"</f>
        <v>320.01</v>
      </c>
      <c r="Q3683" t="b">
        <v>0</v>
      </c>
      <c r="S3683" t="str">
        <f>"9780310495994"</f>
        <v>9780310495994</v>
      </c>
      <c r="T3683" t="str">
        <f>"9780310496038"</f>
        <v>9780310496038</v>
      </c>
      <c r="U3683" t="b">
        <v>0</v>
      </c>
      <c r="W3683" t="b">
        <v>0</v>
      </c>
    </row>
    <row r="3684" spans="1:23" x14ac:dyDescent="0.3">
      <c r="A3684">
        <v>1524983</v>
      </c>
      <c r="B3684">
        <v>34.47</v>
      </c>
      <c r="C3684" t="s">
        <v>8923</v>
      </c>
      <c r="E3684" t="s">
        <v>49</v>
      </c>
      <c r="F3684" t="s">
        <v>44</v>
      </c>
      <c r="G3684">
        <v>2009</v>
      </c>
      <c r="H3684" t="s">
        <v>6402</v>
      </c>
      <c r="K3684" t="s">
        <v>25</v>
      </c>
      <c r="L3684" t="s">
        <v>26</v>
      </c>
      <c r="M3684" t="b">
        <v>1</v>
      </c>
      <c r="N3684" t="s">
        <v>8924</v>
      </c>
      <c r="P3684" t="s">
        <v>8755</v>
      </c>
      <c r="Q3684" t="b">
        <v>0</v>
      </c>
      <c r="S3684" t="str">
        <f>"9780310704416"</f>
        <v>9780310704416</v>
      </c>
      <c r="T3684" t="str">
        <f>"9780310864554"</f>
        <v>9780310864554</v>
      </c>
      <c r="U3684" t="b">
        <v>0</v>
      </c>
      <c r="W3684" t="b">
        <v>0</v>
      </c>
    </row>
    <row r="3685" spans="1:23" x14ac:dyDescent="0.3">
      <c r="A3685">
        <v>1524982</v>
      </c>
      <c r="B3685">
        <v>34.47</v>
      </c>
      <c r="C3685" t="s">
        <v>8925</v>
      </c>
      <c r="E3685" t="s">
        <v>49</v>
      </c>
      <c r="F3685" t="s">
        <v>44</v>
      </c>
      <c r="G3685">
        <v>1998</v>
      </c>
      <c r="H3685" t="s">
        <v>6402</v>
      </c>
      <c r="I3685" t="s">
        <v>8926</v>
      </c>
      <c r="J3685" t="s">
        <v>8927</v>
      </c>
      <c r="K3685" t="s">
        <v>25</v>
      </c>
      <c r="L3685" t="s">
        <v>26</v>
      </c>
      <c r="M3685" t="b">
        <v>1</v>
      </c>
      <c r="N3685" t="s">
        <v>44</v>
      </c>
      <c r="O3685" t="str">
        <f>"289.1"</f>
        <v>289.1</v>
      </c>
      <c r="P3685" t="s">
        <v>8765</v>
      </c>
      <c r="Q3685" t="b">
        <v>0</v>
      </c>
      <c r="S3685" t="str">
        <f>"9780310488910"</f>
        <v>9780310488910</v>
      </c>
      <c r="T3685" t="str">
        <f>"9780310864547"</f>
        <v>9780310864547</v>
      </c>
      <c r="U3685" t="b">
        <v>0</v>
      </c>
      <c r="W3685" t="b">
        <v>0</v>
      </c>
    </row>
    <row r="3686" spans="1:23" x14ac:dyDescent="0.3">
      <c r="A3686">
        <v>1524981</v>
      </c>
      <c r="B3686">
        <v>51.72</v>
      </c>
      <c r="C3686" t="s">
        <v>8928</v>
      </c>
      <c r="D3686" t="s">
        <v>8929</v>
      </c>
      <c r="E3686" t="s">
        <v>49</v>
      </c>
      <c r="F3686" t="s">
        <v>44</v>
      </c>
      <c r="G3686">
        <v>2011</v>
      </c>
      <c r="H3686" t="s">
        <v>6402</v>
      </c>
      <c r="I3686" t="s">
        <v>8930</v>
      </c>
      <c r="J3686" t="s">
        <v>8931</v>
      </c>
      <c r="K3686" t="s">
        <v>25</v>
      </c>
      <c r="L3686" t="s">
        <v>30</v>
      </c>
      <c r="M3686" t="b">
        <v>1</v>
      </c>
      <c r="N3686" t="s">
        <v>8051</v>
      </c>
      <c r="O3686" t="str">
        <f>"230/.93"</f>
        <v>230/.93</v>
      </c>
      <c r="Q3686" t="b">
        <v>0</v>
      </c>
      <c r="S3686" t="str">
        <f>"9780310329268"</f>
        <v>9780310329268</v>
      </c>
      <c r="T3686" t="str">
        <f>"9780310591887"</f>
        <v>9780310591887</v>
      </c>
      <c r="U3686" t="b">
        <v>0</v>
      </c>
      <c r="W3686" t="b">
        <v>0</v>
      </c>
    </row>
    <row r="3687" spans="1:23" x14ac:dyDescent="0.3">
      <c r="A3687">
        <v>1524980</v>
      </c>
      <c r="B3687">
        <v>51.72</v>
      </c>
      <c r="C3687" t="s">
        <v>8932</v>
      </c>
      <c r="D3687" t="s">
        <v>8933</v>
      </c>
      <c r="E3687" t="s">
        <v>23</v>
      </c>
      <c r="F3687" t="s">
        <v>44</v>
      </c>
      <c r="G3687">
        <v>2009</v>
      </c>
      <c r="H3687" t="s">
        <v>6402</v>
      </c>
      <c r="I3687" t="s">
        <v>8934</v>
      </c>
      <c r="J3687" t="s">
        <v>8935</v>
      </c>
      <c r="K3687" t="s">
        <v>25</v>
      </c>
      <c r="L3687" t="s">
        <v>30</v>
      </c>
      <c r="M3687" t="b">
        <v>1</v>
      </c>
      <c r="N3687" t="s">
        <v>8936</v>
      </c>
      <c r="O3687" t="str">
        <f>"297.1/2261/02423"</f>
        <v>297.1/2261/02423</v>
      </c>
      <c r="Q3687" t="b">
        <v>0</v>
      </c>
      <c r="S3687" t="str">
        <f>"9780310248125"</f>
        <v>9780310248125</v>
      </c>
      <c r="T3687" t="str">
        <f>"9780310298601"</f>
        <v>9780310298601</v>
      </c>
      <c r="U3687" t="b">
        <v>0</v>
      </c>
      <c r="V3687" t="s">
        <v>2872</v>
      </c>
      <c r="W3687" t="b">
        <v>0</v>
      </c>
    </row>
    <row r="3688" spans="1:23" x14ac:dyDescent="0.3">
      <c r="A3688">
        <v>1524979</v>
      </c>
      <c r="B3688">
        <v>51.72</v>
      </c>
      <c r="C3688" t="s">
        <v>8937</v>
      </c>
      <c r="D3688" t="s">
        <v>8938</v>
      </c>
      <c r="E3688" t="s">
        <v>23</v>
      </c>
      <c r="F3688" t="s">
        <v>44</v>
      </c>
      <c r="G3688">
        <v>2009</v>
      </c>
      <c r="H3688" t="s">
        <v>6402</v>
      </c>
      <c r="I3688" t="s">
        <v>8939</v>
      </c>
      <c r="K3688" t="s">
        <v>25</v>
      </c>
      <c r="L3688" t="s">
        <v>30</v>
      </c>
      <c r="M3688" t="b">
        <v>1</v>
      </c>
      <c r="N3688" t="s">
        <v>8051</v>
      </c>
      <c r="O3688" t="str">
        <f>"289.3/22"</f>
        <v>289.3/22</v>
      </c>
      <c r="Q3688" t="b">
        <v>0</v>
      </c>
      <c r="S3688" t="str">
        <f>"9780310283218"</f>
        <v>9780310283218</v>
      </c>
      <c r="T3688" t="str">
        <f>"9780310590682"</f>
        <v>9780310590682</v>
      </c>
      <c r="U3688" t="b">
        <v>0</v>
      </c>
      <c r="W3688" t="b">
        <v>0</v>
      </c>
    </row>
    <row r="3689" spans="1:23" x14ac:dyDescent="0.3">
      <c r="A3689">
        <v>1524978</v>
      </c>
      <c r="B3689">
        <v>51.72</v>
      </c>
      <c r="C3689" t="s">
        <v>8940</v>
      </c>
      <c r="E3689" t="s">
        <v>23</v>
      </c>
      <c r="F3689" t="s">
        <v>44</v>
      </c>
      <c r="G3689">
        <v>1984</v>
      </c>
      <c r="H3689" t="s">
        <v>76</v>
      </c>
      <c r="I3689" t="s">
        <v>8941</v>
      </c>
      <c r="K3689" t="s">
        <v>25</v>
      </c>
      <c r="L3689" t="s">
        <v>30</v>
      </c>
      <c r="M3689" t="b">
        <v>1</v>
      </c>
      <c r="N3689" t="s">
        <v>8942</v>
      </c>
      <c r="O3689" t="str">
        <f>"220.6"</f>
        <v>220.6</v>
      </c>
      <c r="Q3689" t="b">
        <v>0</v>
      </c>
      <c r="S3689" t="str">
        <f>"9780310414315"</f>
        <v>9780310414315</v>
      </c>
      <c r="T3689" t="str">
        <f>"9780310874102"</f>
        <v>9780310874102</v>
      </c>
      <c r="U3689" t="b">
        <v>0</v>
      </c>
      <c r="V3689" t="s">
        <v>7036</v>
      </c>
      <c r="W3689" t="b">
        <v>0</v>
      </c>
    </row>
    <row r="3690" spans="1:23" x14ac:dyDescent="0.3">
      <c r="A3690">
        <v>1524977</v>
      </c>
      <c r="B3690">
        <v>58.62</v>
      </c>
      <c r="C3690" t="s">
        <v>8943</v>
      </c>
      <c r="D3690" t="s">
        <v>8944</v>
      </c>
      <c r="E3690" t="s">
        <v>49</v>
      </c>
      <c r="F3690" t="s">
        <v>44</v>
      </c>
      <c r="G3690">
        <v>2013</v>
      </c>
      <c r="H3690" t="s">
        <v>50</v>
      </c>
      <c r="I3690" t="s">
        <v>7151</v>
      </c>
      <c r="J3690" t="s">
        <v>8945</v>
      </c>
      <c r="K3690" t="s">
        <v>25</v>
      </c>
      <c r="L3690" t="s">
        <v>30</v>
      </c>
      <c r="M3690" t="b">
        <v>1</v>
      </c>
      <c r="N3690" t="s">
        <v>6691</v>
      </c>
      <c r="O3690" t="str">
        <f>"261.8/3576"</f>
        <v>261.8/3576</v>
      </c>
      <c r="Q3690" t="b">
        <v>0</v>
      </c>
      <c r="S3690" t="str">
        <f>"9780310516187"</f>
        <v>9780310516187</v>
      </c>
      <c r="T3690" t="str">
        <f>"9780310516194"</f>
        <v>9780310516194</v>
      </c>
      <c r="U3690" t="b">
        <v>0</v>
      </c>
      <c r="W3690" t="b">
        <v>0</v>
      </c>
    </row>
    <row r="3691" spans="1:23" x14ac:dyDescent="0.3">
      <c r="A3691">
        <v>1524976</v>
      </c>
      <c r="B3691">
        <v>58.62</v>
      </c>
      <c r="C3691" t="s">
        <v>8946</v>
      </c>
      <c r="E3691" t="s">
        <v>49</v>
      </c>
      <c r="F3691" t="s">
        <v>44</v>
      </c>
      <c r="G3691">
        <v>2009</v>
      </c>
      <c r="H3691" t="s">
        <v>1230</v>
      </c>
      <c r="I3691" t="s">
        <v>8947</v>
      </c>
      <c r="J3691" t="s">
        <v>8948</v>
      </c>
      <c r="K3691" t="s">
        <v>25</v>
      </c>
      <c r="L3691" t="s">
        <v>30</v>
      </c>
      <c r="M3691" t="b">
        <v>1</v>
      </c>
      <c r="N3691" t="s">
        <v>44</v>
      </c>
      <c r="O3691" t="str">
        <f>"234/.161"</f>
        <v>234/.161</v>
      </c>
      <c r="P3691" t="s">
        <v>6463</v>
      </c>
      <c r="Q3691" t="b">
        <v>0</v>
      </c>
      <c r="S3691" t="str">
        <f>"9780310262671"</f>
        <v>9780310262671</v>
      </c>
      <c r="T3691" t="str">
        <f>"9780310866985"</f>
        <v>9780310866985</v>
      </c>
      <c r="U3691" t="b">
        <v>0</v>
      </c>
      <c r="V3691" t="s">
        <v>2872</v>
      </c>
      <c r="W3691" t="b">
        <v>0</v>
      </c>
    </row>
    <row r="3692" spans="1:23" x14ac:dyDescent="0.3">
      <c r="A3692">
        <v>1524975</v>
      </c>
      <c r="B3692">
        <v>62.07</v>
      </c>
      <c r="C3692" t="s">
        <v>8949</v>
      </c>
      <c r="D3692" t="s">
        <v>8950</v>
      </c>
      <c r="E3692" t="s">
        <v>49</v>
      </c>
      <c r="F3692" t="s">
        <v>106</v>
      </c>
      <c r="G3692">
        <v>2012</v>
      </c>
      <c r="H3692" t="s">
        <v>115</v>
      </c>
      <c r="I3692" t="s">
        <v>6635</v>
      </c>
      <c r="K3692" t="s">
        <v>25</v>
      </c>
      <c r="L3692" t="s">
        <v>26</v>
      </c>
      <c r="M3692" t="b">
        <v>1</v>
      </c>
      <c r="N3692" t="s">
        <v>8951</v>
      </c>
      <c r="O3692" t="str">
        <f>"230/.041"</f>
        <v>230/.041</v>
      </c>
      <c r="Q3692" t="b">
        <v>0</v>
      </c>
      <c r="S3692" t="str">
        <f>"9780310492238"</f>
        <v>9780310492238</v>
      </c>
      <c r="T3692" t="str">
        <f>"9780310492245"</f>
        <v>9780310492245</v>
      </c>
      <c r="U3692" t="b">
        <v>0</v>
      </c>
      <c r="W3692" t="b">
        <v>0</v>
      </c>
    </row>
    <row r="3693" spans="1:23" x14ac:dyDescent="0.3">
      <c r="A3693">
        <v>1524974</v>
      </c>
      <c r="B3693">
        <v>68.97</v>
      </c>
      <c r="C3693" t="s">
        <v>8952</v>
      </c>
      <c r="E3693" t="s">
        <v>49</v>
      </c>
      <c r="F3693" t="s">
        <v>106</v>
      </c>
      <c r="G3693">
        <v>2014</v>
      </c>
      <c r="H3693" t="s">
        <v>2603</v>
      </c>
      <c r="I3693" t="s">
        <v>6352</v>
      </c>
      <c r="J3693" t="s">
        <v>8953</v>
      </c>
      <c r="K3693" t="s">
        <v>25</v>
      </c>
      <c r="L3693" t="s">
        <v>26</v>
      </c>
      <c r="M3693" t="b">
        <v>1</v>
      </c>
      <c r="N3693" t="s">
        <v>8954</v>
      </c>
      <c r="O3693" t="str">
        <f>"231/.044"</f>
        <v>231/.044</v>
      </c>
      <c r="P3693" t="s">
        <v>8955</v>
      </c>
      <c r="Q3693" t="b">
        <v>0</v>
      </c>
      <c r="S3693" t="str">
        <f>"9780310498124"</f>
        <v>9780310498124</v>
      </c>
      <c r="T3693" t="str">
        <f>"9780310498131"</f>
        <v>9780310498131</v>
      </c>
      <c r="U3693" t="b">
        <v>0</v>
      </c>
      <c r="W3693" t="b">
        <v>0</v>
      </c>
    </row>
    <row r="3694" spans="1:23" x14ac:dyDescent="0.3">
      <c r="A3694">
        <v>1524973</v>
      </c>
      <c r="B3694">
        <v>113.82</v>
      </c>
      <c r="C3694" t="s">
        <v>8956</v>
      </c>
      <c r="D3694" t="s">
        <v>8957</v>
      </c>
      <c r="E3694" t="s">
        <v>49</v>
      </c>
      <c r="F3694" t="s">
        <v>106</v>
      </c>
      <c r="G3694">
        <v>2005</v>
      </c>
      <c r="H3694" t="s">
        <v>71</v>
      </c>
      <c r="I3694" t="s">
        <v>7056</v>
      </c>
      <c r="J3694" t="s">
        <v>8958</v>
      </c>
      <c r="K3694" t="s">
        <v>25</v>
      </c>
      <c r="L3694" t="s">
        <v>26</v>
      </c>
      <c r="M3694" t="b">
        <v>1</v>
      </c>
      <c r="N3694" t="s">
        <v>8959</v>
      </c>
      <c r="O3694" t="str">
        <f>"230/.04624"</f>
        <v>230/.04624</v>
      </c>
      <c r="Q3694" t="b">
        <v>0</v>
      </c>
      <c r="S3694" t="str">
        <f>"9780310259893"</f>
        <v>9780310259893</v>
      </c>
      <c r="T3694" t="str">
        <f>"9780310864486"</f>
        <v>9780310864486</v>
      </c>
      <c r="U3694" t="b">
        <v>0</v>
      </c>
      <c r="V3694" t="s">
        <v>940</v>
      </c>
      <c r="W3694" t="b">
        <v>0</v>
      </c>
    </row>
    <row r="3695" spans="1:23" x14ac:dyDescent="0.3">
      <c r="A3695">
        <v>1524972</v>
      </c>
      <c r="B3695">
        <v>68.97</v>
      </c>
      <c r="C3695" t="s">
        <v>8960</v>
      </c>
      <c r="E3695" t="s">
        <v>49</v>
      </c>
      <c r="F3695" t="s">
        <v>106</v>
      </c>
      <c r="G3695">
        <v>2009</v>
      </c>
      <c r="H3695" t="s">
        <v>179</v>
      </c>
      <c r="I3695" t="s">
        <v>8961</v>
      </c>
      <c r="K3695" t="s">
        <v>25</v>
      </c>
      <c r="L3695" t="s">
        <v>26</v>
      </c>
      <c r="M3695" t="b">
        <v>1</v>
      </c>
      <c r="N3695" t="s">
        <v>8962</v>
      </c>
      <c r="O3695" t="str">
        <f>"220.6"</f>
        <v>220.6</v>
      </c>
      <c r="P3695" t="s">
        <v>8963</v>
      </c>
      <c r="Q3695" t="b">
        <v>0</v>
      </c>
      <c r="S3695" t="str">
        <f>"9780310273332"</f>
        <v>9780310273332</v>
      </c>
      <c r="T3695" t="str">
        <f>"9780310590514"</f>
        <v>9780310590514</v>
      </c>
      <c r="U3695" t="b">
        <v>0</v>
      </c>
      <c r="W3695" t="b">
        <v>0</v>
      </c>
    </row>
    <row r="3696" spans="1:23" x14ac:dyDescent="0.3">
      <c r="A3696">
        <v>1524971</v>
      </c>
      <c r="B3696">
        <v>79.319999999999993</v>
      </c>
      <c r="C3696" t="s">
        <v>8964</v>
      </c>
      <c r="E3696" t="s">
        <v>49</v>
      </c>
      <c r="F3696" t="s">
        <v>106</v>
      </c>
      <c r="G3696">
        <v>2009</v>
      </c>
      <c r="H3696" t="s">
        <v>8965</v>
      </c>
      <c r="I3696" t="s">
        <v>8966</v>
      </c>
      <c r="J3696" t="s">
        <v>8967</v>
      </c>
      <c r="K3696" t="s">
        <v>25</v>
      </c>
      <c r="L3696" t="s">
        <v>26</v>
      </c>
      <c r="M3696" t="b">
        <v>1</v>
      </c>
      <c r="N3696" t="s">
        <v>44</v>
      </c>
      <c r="O3696" t="str">
        <f>"280/.042"</f>
        <v>280/.042</v>
      </c>
      <c r="P3696" t="s">
        <v>6463</v>
      </c>
      <c r="Q3696" t="b">
        <v>0</v>
      </c>
      <c r="S3696" t="str">
        <f>"9780310235392"</f>
        <v>9780310235392</v>
      </c>
      <c r="T3696" t="str">
        <f>"9780310864363"</f>
        <v>9780310864363</v>
      </c>
      <c r="U3696" t="b">
        <v>0</v>
      </c>
      <c r="V3696" t="s">
        <v>2872</v>
      </c>
      <c r="W3696" t="b">
        <v>0</v>
      </c>
    </row>
    <row r="3697" spans="1:23" x14ac:dyDescent="0.3">
      <c r="A3697">
        <v>1524969</v>
      </c>
      <c r="B3697">
        <v>58.62</v>
      </c>
      <c r="C3697" t="s">
        <v>8968</v>
      </c>
      <c r="D3697" t="s">
        <v>8969</v>
      </c>
      <c r="E3697" t="s">
        <v>49</v>
      </c>
      <c r="F3697" t="s">
        <v>44</v>
      </c>
      <c r="G3697">
        <v>2011</v>
      </c>
      <c r="H3697" t="s">
        <v>756</v>
      </c>
      <c r="I3697" t="s">
        <v>1207</v>
      </c>
      <c r="J3697" t="s">
        <v>8970</v>
      </c>
      <c r="K3697" t="s">
        <v>25</v>
      </c>
      <c r="L3697" t="s">
        <v>30</v>
      </c>
      <c r="M3697" t="b">
        <v>1</v>
      </c>
      <c r="N3697" t="s">
        <v>8971</v>
      </c>
      <c r="O3697" t="str">
        <f>"261"</f>
        <v>261</v>
      </c>
      <c r="Q3697" t="b">
        <v>0</v>
      </c>
      <c r="S3697" t="str">
        <f>"9780310328650"</f>
        <v>9780310328650</v>
      </c>
      <c r="T3697" t="str">
        <f>"9780310586739"</f>
        <v>9780310586739</v>
      </c>
      <c r="U3697" t="b">
        <v>0</v>
      </c>
      <c r="W3697" t="b">
        <v>0</v>
      </c>
    </row>
    <row r="3698" spans="1:23" x14ac:dyDescent="0.3">
      <c r="A3698">
        <v>1524968</v>
      </c>
      <c r="B3698">
        <v>99.46</v>
      </c>
      <c r="C3698" t="s">
        <v>8972</v>
      </c>
      <c r="D3698" t="s">
        <v>8973</v>
      </c>
      <c r="E3698" t="s">
        <v>49</v>
      </c>
      <c r="F3698" t="s">
        <v>106</v>
      </c>
      <c r="G3698">
        <v>2010</v>
      </c>
      <c r="H3698" t="s">
        <v>735</v>
      </c>
      <c r="I3698" t="s">
        <v>8974</v>
      </c>
      <c r="J3698" t="s">
        <v>895</v>
      </c>
      <c r="K3698" t="s">
        <v>25</v>
      </c>
      <c r="L3698" t="s">
        <v>26</v>
      </c>
      <c r="M3698" t="b">
        <v>1</v>
      </c>
      <c r="N3698" t="s">
        <v>8678</v>
      </c>
      <c r="O3698" t="str">
        <f>"236"</f>
        <v>236</v>
      </c>
      <c r="Q3698" t="b">
        <v>0</v>
      </c>
      <c r="S3698" t="str">
        <f>"9780310308904"</f>
        <v>9780310308904</v>
      </c>
      <c r="T3698" t="str">
        <f>"9780310873952"</f>
        <v>9780310873952</v>
      </c>
      <c r="U3698" t="b">
        <v>0</v>
      </c>
      <c r="W3698" t="b">
        <v>0</v>
      </c>
    </row>
    <row r="3699" spans="1:23" x14ac:dyDescent="0.3">
      <c r="A3699">
        <v>1524967</v>
      </c>
      <c r="B3699">
        <v>86.22</v>
      </c>
      <c r="C3699" t="s">
        <v>8975</v>
      </c>
      <c r="D3699" t="s">
        <v>8976</v>
      </c>
      <c r="E3699" t="s">
        <v>49</v>
      </c>
      <c r="F3699" t="s">
        <v>106</v>
      </c>
      <c r="G3699">
        <v>2015</v>
      </c>
      <c r="H3699" t="s">
        <v>70</v>
      </c>
      <c r="I3699" t="s">
        <v>6414</v>
      </c>
      <c r="J3699" t="s">
        <v>895</v>
      </c>
      <c r="K3699" t="s">
        <v>25</v>
      </c>
      <c r="L3699" t="s">
        <v>30</v>
      </c>
      <c r="M3699" t="b">
        <v>1</v>
      </c>
      <c r="N3699" t="s">
        <v>8977</v>
      </c>
      <c r="O3699" t="str">
        <f>"261.2"</f>
        <v>261.2</v>
      </c>
      <c r="Q3699" t="b">
        <v>0</v>
      </c>
      <c r="S3699" t="str">
        <f>"9780310520771"</f>
        <v>9780310520771</v>
      </c>
      <c r="T3699" t="str">
        <f>"9780310520788"</f>
        <v>9780310520788</v>
      </c>
      <c r="U3699" t="b">
        <v>0</v>
      </c>
      <c r="W3699" t="b">
        <v>0</v>
      </c>
    </row>
    <row r="3700" spans="1:23" x14ac:dyDescent="0.3">
      <c r="A3700">
        <v>1524966</v>
      </c>
      <c r="B3700">
        <v>159.87</v>
      </c>
      <c r="C3700" t="s">
        <v>8978</v>
      </c>
      <c r="D3700" t="s">
        <v>8979</v>
      </c>
      <c r="E3700" t="s">
        <v>49</v>
      </c>
      <c r="F3700" t="s">
        <v>106</v>
      </c>
      <c r="G3700">
        <v>2010</v>
      </c>
      <c r="H3700" t="s">
        <v>7908</v>
      </c>
      <c r="I3700" t="s">
        <v>8980</v>
      </c>
      <c r="K3700" t="s">
        <v>25</v>
      </c>
      <c r="L3700" t="s">
        <v>30</v>
      </c>
      <c r="M3700" t="b">
        <v>1</v>
      </c>
      <c r="N3700" t="s">
        <v>8981</v>
      </c>
      <c r="O3700" t="str">
        <f>"220.3"</f>
        <v>220.3</v>
      </c>
      <c r="P3700" t="s">
        <v>8982</v>
      </c>
      <c r="Q3700" t="b">
        <v>0</v>
      </c>
      <c r="S3700" t="str">
        <f>"9780310241355"</f>
        <v>9780310241355</v>
      </c>
      <c r="T3700" t="str">
        <f>"9780310877004"</f>
        <v>9780310877004</v>
      </c>
      <c r="U3700" t="b">
        <v>0</v>
      </c>
      <c r="V3700" t="s">
        <v>2872</v>
      </c>
      <c r="W3700" t="b">
        <v>0</v>
      </c>
    </row>
    <row r="3701" spans="1:23" x14ac:dyDescent="0.3">
      <c r="A3701">
        <v>1524965</v>
      </c>
      <c r="B3701">
        <v>159.87</v>
      </c>
      <c r="C3701" t="s">
        <v>8983</v>
      </c>
      <c r="D3701" t="s">
        <v>8979</v>
      </c>
      <c r="E3701" t="s">
        <v>49</v>
      </c>
      <c r="F3701" t="s">
        <v>106</v>
      </c>
      <c r="G3701">
        <v>2010</v>
      </c>
      <c r="H3701" t="s">
        <v>7908</v>
      </c>
      <c r="I3701" t="s">
        <v>8980</v>
      </c>
      <c r="K3701" t="s">
        <v>25</v>
      </c>
      <c r="L3701" t="s">
        <v>30</v>
      </c>
      <c r="M3701" t="b">
        <v>1</v>
      </c>
      <c r="N3701" t="s">
        <v>8981</v>
      </c>
      <c r="O3701" t="str">
        <f>"220.3"</f>
        <v>220.3</v>
      </c>
      <c r="P3701" t="s">
        <v>8982</v>
      </c>
      <c r="Q3701" t="b">
        <v>0</v>
      </c>
      <c r="S3701" t="str">
        <f>"9780310241348"</f>
        <v>9780310241348</v>
      </c>
      <c r="T3701" t="str">
        <f>"9780310876991"</f>
        <v>9780310876991</v>
      </c>
      <c r="U3701" t="b">
        <v>0</v>
      </c>
      <c r="W3701" t="b">
        <v>0</v>
      </c>
    </row>
    <row r="3702" spans="1:23" x14ac:dyDescent="0.3">
      <c r="A3702">
        <v>1524964</v>
      </c>
      <c r="B3702">
        <v>159.87</v>
      </c>
      <c r="C3702" t="s">
        <v>8984</v>
      </c>
      <c r="D3702" t="s">
        <v>8979</v>
      </c>
      <c r="E3702" t="s">
        <v>49</v>
      </c>
      <c r="F3702" t="s">
        <v>106</v>
      </c>
      <c r="G3702">
        <v>2010</v>
      </c>
      <c r="H3702" t="s">
        <v>7908</v>
      </c>
      <c r="I3702" t="s">
        <v>8980</v>
      </c>
      <c r="K3702" t="s">
        <v>25</v>
      </c>
      <c r="L3702" t="s">
        <v>30</v>
      </c>
      <c r="M3702" t="b">
        <v>1</v>
      </c>
      <c r="N3702" t="s">
        <v>8981</v>
      </c>
      <c r="O3702" t="str">
        <f>"220.3"</f>
        <v>220.3</v>
      </c>
      <c r="P3702" t="s">
        <v>8982</v>
      </c>
      <c r="Q3702" t="b">
        <v>0</v>
      </c>
      <c r="S3702" t="str">
        <f>"9780310241331"</f>
        <v>9780310241331</v>
      </c>
      <c r="T3702" t="str">
        <f>"9780310876984"</f>
        <v>9780310876984</v>
      </c>
      <c r="U3702" t="b">
        <v>0</v>
      </c>
      <c r="W3702" t="b">
        <v>0</v>
      </c>
    </row>
    <row r="3703" spans="1:23" x14ac:dyDescent="0.3">
      <c r="A3703">
        <v>1524963</v>
      </c>
      <c r="B3703">
        <v>159.87</v>
      </c>
      <c r="C3703" t="s">
        <v>8985</v>
      </c>
      <c r="D3703" t="s">
        <v>8979</v>
      </c>
      <c r="E3703" t="s">
        <v>49</v>
      </c>
      <c r="F3703" t="s">
        <v>106</v>
      </c>
      <c r="G3703">
        <v>2010</v>
      </c>
      <c r="H3703" t="s">
        <v>7908</v>
      </c>
      <c r="I3703" t="s">
        <v>8980</v>
      </c>
      <c r="K3703" t="s">
        <v>25</v>
      </c>
      <c r="L3703" t="s">
        <v>30</v>
      </c>
      <c r="M3703" t="b">
        <v>1</v>
      </c>
      <c r="N3703" t="s">
        <v>44</v>
      </c>
      <c r="O3703" t="str">
        <f>"220.3"</f>
        <v>220.3</v>
      </c>
      <c r="P3703" t="s">
        <v>8982</v>
      </c>
      <c r="Q3703" t="b">
        <v>0</v>
      </c>
      <c r="S3703" t="str">
        <f>"9780310241324"</f>
        <v>9780310241324</v>
      </c>
      <c r="T3703" t="str">
        <f>"9780310876977"</f>
        <v>9780310876977</v>
      </c>
      <c r="U3703" t="b">
        <v>0</v>
      </c>
      <c r="W3703" t="b">
        <v>0</v>
      </c>
    </row>
    <row r="3704" spans="1:23" x14ac:dyDescent="0.3">
      <c r="A3704">
        <v>1524962</v>
      </c>
      <c r="B3704">
        <v>159.87</v>
      </c>
      <c r="C3704" t="s">
        <v>8986</v>
      </c>
      <c r="D3704" t="s">
        <v>8979</v>
      </c>
      <c r="E3704" t="s">
        <v>49</v>
      </c>
      <c r="F3704" t="s">
        <v>106</v>
      </c>
      <c r="G3704">
        <v>2010</v>
      </c>
      <c r="H3704" t="s">
        <v>7908</v>
      </c>
      <c r="I3704" t="s">
        <v>8980</v>
      </c>
      <c r="K3704" t="s">
        <v>25</v>
      </c>
      <c r="L3704" t="s">
        <v>30</v>
      </c>
      <c r="M3704" t="b">
        <v>1</v>
      </c>
      <c r="N3704" t="s">
        <v>8981</v>
      </c>
      <c r="O3704" t="str">
        <f>"220.3"</f>
        <v>220.3</v>
      </c>
      <c r="P3704" t="s">
        <v>8982</v>
      </c>
      <c r="Q3704" t="b">
        <v>0</v>
      </c>
      <c r="S3704" t="str">
        <f>"9780310209737"</f>
        <v>9780310209737</v>
      </c>
      <c r="T3704" t="str">
        <f>"9780310876960"</f>
        <v>9780310876960</v>
      </c>
      <c r="U3704" t="b">
        <v>0</v>
      </c>
      <c r="V3704" t="s">
        <v>2872</v>
      </c>
      <c r="W3704" t="b">
        <v>0</v>
      </c>
    </row>
    <row r="3705" spans="1:23" x14ac:dyDescent="0.3">
      <c r="A3705">
        <v>1524961</v>
      </c>
      <c r="B3705">
        <v>127.89</v>
      </c>
      <c r="C3705" t="s">
        <v>8987</v>
      </c>
      <c r="D3705" t="s">
        <v>8988</v>
      </c>
      <c r="E3705" t="s">
        <v>49</v>
      </c>
      <c r="F3705" t="s">
        <v>106</v>
      </c>
      <c r="G3705">
        <v>2010</v>
      </c>
      <c r="H3705" t="s">
        <v>830</v>
      </c>
      <c r="I3705" t="s">
        <v>8989</v>
      </c>
      <c r="K3705" t="s">
        <v>25</v>
      </c>
      <c r="L3705" t="s">
        <v>30</v>
      </c>
      <c r="M3705" t="b">
        <v>1</v>
      </c>
      <c r="N3705" t="s">
        <v>8990</v>
      </c>
      <c r="O3705" t="str">
        <f>"226.5/061"</f>
        <v>226.5/061</v>
      </c>
      <c r="Q3705" t="b">
        <v>0</v>
      </c>
      <c r="S3705" t="str">
        <f>"9780310267379"</f>
        <v>9780310267379</v>
      </c>
      <c r="T3705" t="str">
        <f>"9780310410393"</f>
        <v>9780310410393</v>
      </c>
      <c r="U3705" t="b">
        <v>0</v>
      </c>
      <c r="W3705" t="b">
        <v>0</v>
      </c>
    </row>
    <row r="3706" spans="1:23" x14ac:dyDescent="0.3">
      <c r="A3706">
        <v>1524960</v>
      </c>
      <c r="B3706">
        <v>103.47</v>
      </c>
      <c r="C3706" t="s">
        <v>8991</v>
      </c>
      <c r="D3706" t="s">
        <v>8992</v>
      </c>
      <c r="E3706" t="s">
        <v>49</v>
      </c>
      <c r="F3706" t="s">
        <v>106</v>
      </c>
      <c r="G3706">
        <v>2011</v>
      </c>
      <c r="H3706" t="s">
        <v>71</v>
      </c>
      <c r="I3706" t="s">
        <v>7019</v>
      </c>
      <c r="J3706" t="s">
        <v>8993</v>
      </c>
      <c r="K3706" t="s">
        <v>25</v>
      </c>
      <c r="L3706" t="s">
        <v>26</v>
      </c>
      <c r="M3706" t="b">
        <v>1</v>
      </c>
      <c r="N3706" t="s">
        <v>8994</v>
      </c>
      <c r="O3706" t="str">
        <f>"223.06"</f>
        <v>223.06</v>
      </c>
      <c r="Q3706" t="b">
        <v>0</v>
      </c>
      <c r="S3706" t="str">
        <f>"9780310227281"</f>
        <v>9780310227281</v>
      </c>
      <c r="T3706" t="str">
        <f>"9780310864608"</f>
        <v>9780310864608</v>
      </c>
      <c r="U3706" t="b">
        <v>0</v>
      </c>
      <c r="W3706" t="b">
        <v>0</v>
      </c>
    </row>
    <row r="3707" spans="1:23" x14ac:dyDescent="0.3">
      <c r="A3707">
        <v>1524959</v>
      </c>
      <c r="B3707">
        <v>99.46</v>
      </c>
      <c r="C3707" t="s">
        <v>8995</v>
      </c>
      <c r="D3707" t="s">
        <v>8996</v>
      </c>
      <c r="E3707" t="s">
        <v>49</v>
      </c>
      <c r="F3707" t="s">
        <v>106</v>
      </c>
      <c r="G3707">
        <v>2010</v>
      </c>
      <c r="H3707" t="s">
        <v>76</v>
      </c>
      <c r="K3707" t="s">
        <v>25</v>
      </c>
      <c r="L3707" t="s">
        <v>30</v>
      </c>
      <c r="M3707" t="b">
        <v>1</v>
      </c>
      <c r="N3707" t="s">
        <v>8997</v>
      </c>
      <c r="Q3707" t="b">
        <v>0</v>
      </c>
      <c r="S3707" t="str">
        <f>"9780310533009"</f>
        <v>9780310533009</v>
      </c>
      <c r="T3707" t="str">
        <f>"9780310874126"</f>
        <v>9780310874126</v>
      </c>
      <c r="U3707" t="b">
        <v>0</v>
      </c>
      <c r="W3707" t="b">
        <v>0</v>
      </c>
    </row>
    <row r="3708" spans="1:23" x14ac:dyDescent="0.3">
      <c r="A3708">
        <v>1524958</v>
      </c>
      <c r="B3708">
        <v>53.97</v>
      </c>
      <c r="C3708" t="s">
        <v>8998</v>
      </c>
      <c r="E3708" t="s">
        <v>23</v>
      </c>
      <c r="F3708" t="s">
        <v>44</v>
      </c>
      <c r="G3708">
        <v>2011</v>
      </c>
      <c r="H3708" t="s">
        <v>2322</v>
      </c>
      <c r="I3708" t="s">
        <v>8999</v>
      </c>
      <c r="J3708" t="s">
        <v>9000</v>
      </c>
      <c r="K3708" t="s">
        <v>25</v>
      </c>
      <c r="L3708" t="s">
        <v>30</v>
      </c>
      <c r="M3708" t="b">
        <v>1</v>
      </c>
      <c r="N3708" t="s">
        <v>9001</v>
      </c>
      <c r="O3708" t="str">
        <f>"241.3"</f>
        <v>241.3</v>
      </c>
      <c r="Q3708" t="b">
        <v>0</v>
      </c>
      <c r="S3708" t="str">
        <f>"9789966003188"</f>
        <v>9789966003188</v>
      </c>
      <c r="T3708" t="str">
        <f>"9780310429692"</f>
        <v>9780310429692</v>
      </c>
      <c r="U3708" t="b">
        <v>0</v>
      </c>
      <c r="W3708" t="b">
        <v>0</v>
      </c>
    </row>
    <row r="3709" spans="1:23" x14ac:dyDescent="0.3">
      <c r="A3709">
        <v>1524957</v>
      </c>
      <c r="B3709">
        <v>41.37</v>
      </c>
      <c r="C3709" t="s">
        <v>9002</v>
      </c>
      <c r="D3709" t="s">
        <v>9003</v>
      </c>
      <c r="E3709" t="s">
        <v>49</v>
      </c>
      <c r="F3709" t="s">
        <v>44</v>
      </c>
      <c r="G3709">
        <v>2014</v>
      </c>
      <c r="H3709" t="s">
        <v>71</v>
      </c>
      <c r="I3709" t="s">
        <v>9004</v>
      </c>
      <c r="J3709" t="s">
        <v>9005</v>
      </c>
      <c r="K3709" t="s">
        <v>25</v>
      </c>
      <c r="L3709" t="s">
        <v>30</v>
      </c>
      <c r="M3709" t="b">
        <v>1</v>
      </c>
      <c r="N3709" t="s">
        <v>9006</v>
      </c>
      <c r="O3709" t="str">
        <f>"261.5/61"</f>
        <v>261.5/61</v>
      </c>
      <c r="Q3709" t="b">
        <v>0</v>
      </c>
      <c r="S3709" t="str">
        <f>"9780310516057"</f>
        <v>9780310516057</v>
      </c>
      <c r="T3709" t="str">
        <f>"9780310516064"</f>
        <v>9780310516064</v>
      </c>
      <c r="U3709" t="b">
        <v>0</v>
      </c>
      <c r="W3709" t="b">
        <v>0</v>
      </c>
    </row>
    <row r="3710" spans="1:23" x14ac:dyDescent="0.3">
      <c r="A3710">
        <v>1524956</v>
      </c>
      <c r="B3710">
        <v>44.82</v>
      </c>
      <c r="C3710" t="s">
        <v>9007</v>
      </c>
      <c r="D3710" t="s">
        <v>9008</v>
      </c>
      <c r="E3710" t="s">
        <v>49</v>
      </c>
      <c r="F3710" t="s">
        <v>44</v>
      </c>
      <c r="G3710">
        <v>2009</v>
      </c>
      <c r="H3710" t="s">
        <v>50</v>
      </c>
      <c r="I3710" t="s">
        <v>2656</v>
      </c>
      <c r="J3710" t="s">
        <v>6252</v>
      </c>
      <c r="K3710" t="s">
        <v>25</v>
      </c>
      <c r="L3710" t="s">
        <v>30</v>
      </c>
      <c r="M3710" t="b">
        <v>1</v>
      </c>
      <c r="N3710" t="s">
        <v>9009</v>
      </c>
      <c r="O3710" t="str">
        <f>"248.4/6"</f>
        <v>248.4/6</v>
      </c>
      <c r="Q3710" t="b">
        <v>0</v>
      </c>
      <c r="S3710" t="str">
        <f>"9780310258100"</f>
        <v>9780310258100</v>
      </c>
      <c r="T3710" t="str">
        <f>"9780310863830"</f>
        <v>9780310863830</v>
      </c>
      <c r="U3710" t="b">
        <v>0</v>
      </c>
      <c r="W3710" t="b">
        <v>0</v>
      </c>
    </row>
    <row r="3711" spans="1:23" x14ac:dyDescent="0.3">
      <c r="A3711">
        <v>1524955</v>
      </c>
      <c r="B3711">
        <v>79.319999999999993</v>
      </c>
      <c r="C3711" t="s">
        <v>9010</v>
      </c>
      <c r="E3711" t="s">
        <v>49</v>
      </c>
      <c r="F3711" t="s">
        <v>106</v>
      </c>
      <c r="G3711">
        <v>2010</v>
      </c>
      <c r="H3711" t="s">
        <v>71</v>
      </c>
      <c r="I3711" t="s">
        <v>9011</v>
      </c>
      <c r="J3711" t="s">
        <v>895</v>
      </c>
      <c r="K3711" t="s">
        <v>25</v>
      </c>
      <c r="L3711" t="s">
        <v>26</v>
      </c>
      <c r="M3711" t="b">
        <v>1</v>
      </c>
      <c r="N3711" t="s">
        <v>9012</v>
      </c>
      <c r="O3711" t="str">
        <f>"236"</f>
        <v>236</v>
      </c>
      <c r="Q3711" t="b">
        <v>0</v>
      </c>
      <c r="S3711" t="str">
        <f>"9780310341512"</f>
        <v>9780310341512</v>
      </c>
      <c r="T3711" t="str">
        <f>"9780310877202"</f>
        <v>9780310877202</v>
      </c>
      <c r="U3711" t="b">
        <v>0</v>
      </c>
      <c r="W3711" t="b">
        <v>0</v>
      </c>
    </row>
    <row r="3712" spans="1:23" x14ac:dyDescent="0.3">
      <c r="A3712">
        <v>1524954</v>
      </c>
      <c r="B3712">
        <v>99.46</v>
      </c>
      <c r="C3712" t="s">
        <v>9013</v>
      </c>
      <c r="D3712" t="s">
        <v>9014</v>
      </c>
      <c r="E3712" t="s">
        <v>49</v>
      </c>
      <c r="F3712" t="s">
        <v>106</v>
      </c>
      <c r="G3712">
        <v>2009</v>
      </c>
      <c r="H3712" t="s">
        <v>5755</v>
      </c>
      <c r="I3712" t="s">
        <v>9015</v>
      </c>
      <c r="J3712" t="s">
        <v>9016</v>
      </c>
      <c r="K3712" t="s">
        <v>25</v>
      </c>
      <c r="L3712" t="s">
        <v>30</v>
      </c>
      <c r="M3712" t="b">
        <v>1</v>
      </c>
      <c r="N3712" t="s">
        <v>8534</v>
      </c>
      <c r="O3712" t="str">
        <f>"230/.041"</f>
        <v>230/.041</v>
      </c>
      <c r="Q3712" t="b">
        <v>0</v>
      </c>
      <c r="S3712" t="str">
        <f>"9780310275862"</f>
        <v>9780310275862</v>
      </c>
      <c r="T3712" t="str">
        <f>"9780310866671"</f>
        <v>9780310866671</v>
      </c>
      <c r="U3712" t="b">
        <v>0</v>
      </c>
      <c r="V3712" t="s">
        <v>6095</v>
      </c>
      <c r="W3712" t="b">
        <v>0</v>
      </c>
    </row>
    <row r="3713" spans="1:23" x14ac:dyDescent="0.3">
      <c r="A3713">
        <v>1524953</v>
      </c>
      <c r="B3713">
        <v>142.1</v>
      </c>
      <c r="C3713" t="s">
        <v>9017</v>
      </c>
      <c r="D3713" t="s">
        <v>9018</v>
      </c>
      <c r="E3713" t="s">
        <v>23</v>
      </c>
      <c r="F3713" t="s">
        <v>106</v>
      </c>
      <c r="G3713">
        <v>2005</v>
      </c>
      <c r="H3713" t="s">
        <v>739</v>
      </c>
      <c r="I3713" t="s">
        <v>9019</v>
      </c>
      <c r="K3713" t="s">
        <v>25</v>
      </c>
      <c r="L3713" t="s">
        <v>30</v>
      </c>
      <c r="M3713" t="b">
        <v>1</v>
      </c>
      <c r="N3713" t="s">
        <v>9020</v>
      </c>
      <c r="O3713" t="str">
        <f>"220.9/5"</f>
        <v>220.9/5</v>
      </c>
      <c r="Q3713" t="b">
        <v>0</v>
      </c>
      <c r="S3713" t="str">
        <f>"9780310240372"</f>
        <v>9780310240372</v>
      </c>
      <c r="T3713" t="str">
        <f>"9780310873563"</f>
        <v>9780310873563</v>
      </c>
      <c r="U3713" t="b">
        <v>0</v>
      </c>
      <c r="W3713" t="b">
        <v>0</v>
      </c>
    </row>
    <row r="3714" spans="1:23" x14ac:dyDescent="0.3">
      <c r="A3714">
        <v>1524952</v>
      </c>
      <c r="B3714">
        <v>41.37</v>
      </c>
      <c r="C3714" t="s">
        <v>9021</v>
      </c>
      <c r="D3714" t="s">
        <v>9022</v>
      </c>
      <c r="E3714" t="s">
        <v>49</v>
      </c>
      <c r="F3714" t="s">
        <v>44</v>
      </c>
      <c r="G3714">
        <v>2015</v>
      </c>
      <c r="H3714" t="s">
        <v>71</v>
      </c>
      <c r="I3714" t="s">
        <v>6391</v>
      </c>
      <c r="J3714" t="s">
        <v>9023</v>
      </c>
      <c r="K3714" t="s">
        <v>25</v>
      </c>
      <c r="L3714" t="s">
        <v>30</v>
      </c>
      <c r="M3714" t="b">
        <v>1</v>
      </c>
      <c r="N3714" t="s">
        <v>9024</v>
      </c>
      <c r="O3714" t="str">
        <f>"261.7"</f>
        <v>261.7</v>
      </c>
      <c r="P3714" t="s">
        <v>9025</v>
      </c>
      <c r="Q3714" t="b">
        <v>0</v>
      </c>
      <c r="S3714" t="str">
        <f>"9780310516071"</f>
        <v>9780310516071</v>
      </c>
      <c r="T3714" t="str">
        <f>"9780310516088"</f>
        <v>9780310516088</v>
      </c>
      <c r="U3714" t="b">
        <v>0</v>
      </c>
      <c r="W3714" t="b">
        <v>0</v>
      </c>
    </row>
    <row r="3715" spans="1:23" x14ac:dyDescent="0.3">
      <c r="A3715">
        <v>1524951</v>
      </c>
      <c r="B3715">
        <v>65.52</v>
      </c>
      <c r="C3715" t="s">
        <v>9026</v>
      </c>
      <c r="D3715" t="s">
        <v>9027</v>
      </c>
      <c r="E3715" t="s">
        <v>49</v>
      </c>
      <c r="F3715" t="s">
        <v>44</v>
      </c>
      <c r="G3715">
        <v>2015</v>
      </c>
      <c r="H3715" t="s">
        <v>804</v>
      </c>
      <c r="I3715" t="s">
        <v>3528</v>
      </c>
      <c r="J3715" t="s">
        <v>6733</v>
      </c>
      <c r="K3715" t="s">
        <v>25</v>
      </c>
      <c r="L3715" t="s">
        <v>30</v>
      </c>
      <c r="M3715" t="b">
        <v>1</v>
      </c>
      <c r="N3715" t="s">
        <v>9028</v>
      </c>
      <c r="O3715" t="str">
        <f>"253"</f>
        <v>253</v>
      </c>
      <c r="Q3715" t="b">
        <v>0</v>
      </c>
      <c r="S3715" t="str">
        <f>"9780310516828"</f>
        <v>9780310516828</v>
      </c>
      <c r="T3715" t="str">
        <f>"9780310516996"</f>
        <v>9780310516996</v>
      </c>
      <c r="U3715" t="b">
        <v>0</v>
      </c>
      <c r="W3715" t="b">
        <v>0</v>
      </c>
    </row>
    <row r="3716" spans="1:23" x14ac:dyDescent="0.3">
      <c r="A3716">
        <v>1524950</v>
      </c>
      <c r="B3716">
        <v>51.72</v>
      </c>
      <c r="C3716" t="s">
        <v>7290</v>
      </c>
      <c r="D3716" t="s">
        <v>9029</v>
      </c>
      <c r="E3716" t="s">
        <v>23</v>
      </c>
      <c r="F3716" t="s">
        <v>44</v>
      </c>
      <c r="G3716">
        <v>2015</v>
      </c>
      <c r="H3716" t="s">
        <v>107</v>
      </c>
      <c r="I3716" t="s">
        <v>9030</v>
      </c>
      <c r="J3716" t="s">
        <v>7293</v>
      </c>
      <c r="K3716" t="s">
        <v>25</v>
      </c>
      <c r="L3716" t="s">
        <v>30</v>
      </c>
      <c r="M3716" t="b">
        <v>1</v>
      </c>
      <c r="N3716" t="s">
        <v>120</v>
      </c>
      <c r="O3716" t="str">
        <f>"261.5/6"</f>
        <v>261.5/6</v>
      </c>
      <c r="Q3716" t="b">
        <v>0</v>
      </c>
      <c r="S3716" t="str">
        <f>"9780310515050"</f>
        <v>9780310515050</v>
      </c>
      <c r="T3716" t="str">
        <f>"9780310520832"</f>
        <v>9780310520832</v>
      </c>
      <c r="U3716" t="b">
        <v>0</v>
      </c>
      <c r="W3716" t="b">
        <v>0</v>
      </c>
    </row>
    <row r="3717" spans="1:23" x14ac:dyDescent="0.3">
      <c r="A3717">
        <v>1524949</v>
      </c>
      <c r="B3717">
        <v>103.47</v>
      </c>
      <c r="C3717" t="s">
        <v>9031</v>
      </c>
      <c r="D3717" t="s">
        <v>9032</v>
      </c>
      <c r="E3717" t="s">
        <v>49</v>
      </c>
      <c r="F3717" t="s">
        <v>106</v>
      </c>
      <c r="G3717">
        <v>2002</v>
      </c>
      <c r="H3717" t="s">
        <v>6402</v>
      </c>
      <c r="I3717" t="s">
        <v>8930</v>
      </c>
      <c r="K3717" t="s">
        <v>25</v>
      </c>
      <c r="L3717" t="s">
        <v>30</v>
      </c>
      <c r="M3717" t="b">
        <v>1</v>
      </c>
      <c r="N3717" t="s">
        <v>44</v>
      </c>
      <c r="O3717" t="str">
        <f>"289.3"</f>
        <v>289.3</v>
      </c>
      <c r="Q3717" t="b">
        <v>0</v>
      </c>
      <c r="S3717" t="str">
        <f>"9780310231943"</f>
        <v>9780310231943</v>
      </c>
      <c r="T3717" t="str">
        <f>"9780310873419"</f>
        <v>9780310873419</v>
      </c>
      <c r="U3717" t="b">
        <v>0</v>
      </c>
      <c r="W3717" t="b">
        <v>0</v>
      </c>
    </row>
    <row r="3718" spans="1:23" x14ac:dyDescent="0.3">
      <c r="A3718">
        <v>1524948</v>
      </c>
      <c r="B3718">
        <v>137.97</v>
      </c>
      <c r="C3718" t="s">
        <v>9033</v>
      </c>
      <c r="E3718" t="s">
        <v>49</v>
      </c>
      <c r="F3718" t="s">
        <v>44</v>
      </c>
      <c r="G3718">
        <v>2013</v>
      </c>
      <c r="H3718" t="s">
        <v>98</v>
      </c>
      <c r="K3718" t="s">
        <v>25</v>
      </c>
      <c r="L3718" t="s">
        <v>30</v>
      </c>
      <c r="M3718" t="b">
        <v>1</v>
      </c>
      <c r="N3718" t="s">
        <v>9034</v>
      </c>
      <c r="Q3718" t="b">
        <v>0</v>
      </c>
      <c r="R3718" t="b">
        <v>0</v>
      </c>
      <c r="S3718" t="str">
        <f>"9780310252924"</f>
        <v>9780310252924</v>
      </c>
      <c r="T3718" t="str">
        <f>"9780310499497"</f>
        <v>9780310499497</v>
      </c>
      <c r="U3718" t="b">
        <v>0</v>
      </c>
      <c r="W3718" t="b">
        <v>0</v>
      </c>
    </row>
    <row r="3719" spans="1:23" x14ac:dyDescent="0.3">
      <c r="A3719">
        <v>1524947</v>
      </c>
      <c r="B3719">
        <v>137.97</v>
      </c>
      <c r="C3719" t="s">
        <v>9035</v>
      </c>
      <c r="D3719" t="s">
        <v>9036</v>
      </c>
      <c r="E3719" t="s">
        <v>49</v>
      </c>
      <c r="F3719" t="s">
        <v>44</v>
      </c>
      <c r="G3719">
        <v>2010</v>
      </c>
      <c r="H3719" t="s">
        <v>98</v>
      </c>
      <c r="I3719" t="s">
        <v>8484</v>
      </c>
      <c r="K3719" t="s">
        <v>25</v>
      </c>
      <c r="L3719" t="s">
        <v>26</v>
      </c>
      <c r="M3719" t="b">
        <v>1</v>
      </c>
      <c r="N3719" t="s">
        <v>9034</v>
      </c>
      <c r="O3719" t="str">
        <f>"220.7"</f>
        <v>220.7</v>
      </c>
      <c r="Q3719" t="b">
        <v>0</v>
      </c>
      <c r="R3719" t="b">
        <v>1</v>
      </c>
      <c r="S3719" t="str">
        <f>"9780310253990"</f>
        <v>9780310253990</v>
      </c>
      <c r="T3719" t="str">
        <f>"9780310421924"</f>
        <v>9780310421924</v>
      </c>
      <c r="U3719" t="b">
        <v>0</v>
      </c>
      <c r="V3719" t="s">
        <v>9037</v>
      </c>
      <c r="W3719" t="b">
        <v>0</v>
      </c>
    </row>
    <row r="3720" spans="1:23" x14ac:dyDescent="0.3">
      <c r="A3720">
        <v>1524945</v>
      </c>
      <c r="B3720">
        <v>51.72</v>
      </c>
      <c r="C3720" t="s">
        <v>9038</v>
      </c>
      <c r="D3720" t="s">
        <v>9039</v>
      </c>
      <c r="E3720" t="s">
        <v>23</v>
      </c>
      <c r="F3720" t="s">
        <v>44</v>
      </c>
      <c r="G3720">
        <v>2015</v>
      </c>
      <c r="H3720" t="s">
        <v>3415</v>
      </c>
      <c r="I3720" t="s">
        <v>9040</v>
      </c>
      <c r="J3720" t="s">
        <v>895</v>
      </c>
      <c r="K3720" t="s">
        <v>25</v>
      </c>
      <c r="L3720" t="s">
        <v>30</v>
      </c>
      <c r="M3720" t="b">
        <v>1</v>
      </c>
      <c r="N3720" t="s">
        <v>2291</v>
      </c>
      <c r="O3720" t="str">
        <f>"220.9"</f>
        <v>220.9</v>
      </c>
      <c r="Q3720" t="b">
        <v>0</v>
      </c>
      <c r="S3720" t="str">
        <f>"9780310518358"</f>
        <v>9780310518358</v>
      </c>
      <c r="T3720" t="str">
        <f>"9780310518365"</f>
        <v>9780310518365</v>
      </c>
      <c r="U3720" t="b">
        <v>0</v>
      </c>
      <c r="W3720" t="b">
        <v>0</v>
      </c>
    </row>
    <row r="3721" spans="1:23" x14ac:dyDescent="0.3">
      <c r="A3721">
        <v>1524944</v>
      </c>
      <c r="B3721">
        <v>58.62</v>
      </c>
      <c r="C3721" t="s">
        <v>9041</v>
      </c>
      <c r="D3721" t="s">
        <v>9042</v>
      </c>
      <c r="E3721" t="s">
        <v>23</v>
      </c>
      <c r="F3721" t="s">
        <v>44</v>
      </c>
      <c r="G3721">
        <v>2010</v>
      </c>
      <c r="H3721" t="s">
        <v>6740</v>
      </c>
      <c r="K3721" t="s">
        <v>25</v>
      </c>
      <c r="L3721" t="s">
        <v>30</v>
      </c>
      <c r="M3721" t="b">
        <v>1</v>
      </c>
      <c r="N3721" t="s">
        <v>9043</v>
      </c>
      <c r="Q3721" t="b">
        <v>0</v>
      </c>
      <c r="S3721" t="str">
        <f>"9780310291534"</f>
        <v>9780310291534</v>
      </c>
      <c r="T3721" t="str">
        <f>"9780310873266"</f>
        <v>9780310873266</v>
      </c>
      <c r="U3721" t="b">
        <v>0</v>
      </c>
      <c r="V3721" t="s">
        <v>6383</v>
      </c>
      <c r="W3721" t="b">
        <v>0</v>
      </c>
    </row>
    <row r="3722" spans="1:23" x14ac:dyDescent="0.3">
      <c r="A3722">
        <v>1524943</v>
      </c>
      <c r="B3722">
        <v>68.97</v>
      </c>
      <c r="C3722" t="s">
        <v>9044</v>
      </c>
      <c r="D3722" t="s">
        <v>9045</v>
      </c>
      <c r="E3722" t="s">
        <v>49</v>
      </c>
      <c r="F3722" t="s">
        <v>44</v>
      </c>
      <c r="G3722">
        <v>2006</v>
      </c>
      <c r="H3722" t="s">
        <v>5848</v>
      </c>
      <c r="I3722" t="s">
        <v>9046</v>
      </c>
      <c r="J3722" t="s">
        <v>9047</v>
      </c>
      <c r="K3722" t="s">
        <v>25</v>
      </c>
      <c r="L3722" t="s">
        <v>26</v>
      </c>
      <c r="M3722" t="b">
        <v>1</v>
      </c>
      <c r="N3722" t="s">
        <v>9048</v>
      </c>
      <c r="O3722" t="str">
        <f>"253/.2"</f>
        <v>253/.2</v>
      </c>
      <c r="Q3722" t="b">
        <v>0</v>
      </c>
      <c r="S3722" t="str">
        <f>"9780310263128"</f>
        <v>9780310263128</v>
      </c>
      <c r="T3722" t="str">
        <f>"9780310855446"</f>
        <v>9780310855446</v>
      </c>
      <c r="U3722" t="b">
        <v>0</v>
      </c>
      <c r="W3722" t="b">
        <v>0</v>
      </c>
    </row>
    <row r="3723" spans="1:23" x14ac:dyDescent="0.3">
      <c r="A3723">
        <v>1524942</v>
      </c>
      <c r="B3723">
        <v>93.12</v>
      </c>
      <c r="C3723" t="s">
        <v>9049</v>
      </c>
      <c r="E3723" t="s">
        <v>49</v>
      </c>
      <c r="F3723" t="s">
        <v>106</v>
      </c>
      <c r="G3723">
        <v>1996</v>
      </c>
      <c r="H3723" t="s">
        <v>6799</v>
      </c>
      <c r="I3723" t="s">
        <v>9050</v>
      </c>
      <c r="K3723" t="s">
        <v>25</v>
      </c>
      <c r="L3723" t="s">
        <v>30</v>
      </c>
      <c r="M3723" t="b">
        <v>1</v>
      </c>
      <c r="N3723" t="s">
        <v>9051</v>
      </c>
      <c r="O3723" t="str">
        <f>"227/.94077"</f>
        <v>227/.94077</v>
      </c>
      <c r="P3723" t="s">
        <v>6300</v>
      </c>
      <c r="Q3723" t="b">
        <v>0</v>
      </c>
      <c r="S3723" t="str">
        <f>"9780310486206"</f>
        <v>9780310486206</v>
      </c>
      <c r="T3723" t="str">
        <f>"9780310873006"</f>
        <v>9780310873006</v>
      </c>
      <c r="U3723" t="b">
        <v>0</v>
      </c>
      <c r="W3723" t="b">
        <v>0</v>
      </c>
    </row>
    <row r="3724" spans="1:23" x14ac:dyDescent="0.3">
      <c r="A3724">
        <v>1524940</v>
      </c>
      <c r="B3724">
        <v>71.03</v>
      </c>
      <c r="C3724" t="s">
        <v>9052</v>
      </c>
      <c r="D3724" t="s">
        <v>9053</v>
      </c>
      <c r="E3724" t="s">
        <v>49</v>
      </c>
      <c r="F3724" t="s">
        <v>106</v>
      </c>
      <c r="G3724">
        <v>2009</v>
      </c>
      <c r="H3724" t="s">
        <v>1020</v>
      </c>
      <c r="K3724" t="s">
        <v>25</v>
      </c>
      <c r="L3724" t="s">
        <v>30</v>
      </c>
      <c r="M3724" t="b">
        <v>1</v>
      </c>
      <c r="N3724" t="s">
        <v>9054</v>
      </c>
      <c r="Q3724" t="b">
        <v>0</v>
      </c>
      <c r="S3724" t="str">
        <f>"9780310285038"</f>
        <v>9780310285038</v>
      </c>
      <c r="T3724" t="str">
        <f>"9780310866350"</f>
        <v>9780310866350</v>
      </c>
      <c r="U3724" t="b">
        <v>0</v>
      </c>
      <c r="W3724" t="b">
        <v>0</v>
      </c>
    </row>
    <row r="3725" spans="1:23" x14ac:dyDescent="0.3">
      <c r="A3725">
        <v>1524939</v>
      </c>
      <c r="B3725">
        <v>68.97</v>
      </c>
      <c r="C3725" t="s">
        <v>6384</v>
      </c>
      <c r="D3725" t="s">
        <v>9055</v>
      </c>
      <c r="E3725" t="s">
        <v>49</v>
      </c>
      <c r="F3725" t="s">
        <v>106</v>
      </c>
      <c r="G3725">
        <v>2010</v>
      </c>
      <c r="H3725" t="s">
        <v>871</v>
      </c>
      <c r="I3725" t="s">
        <v>9056</v>
      </c>
      <c r="J3725" t="s">
        <v>895</v>
      </c>
      <c r="K3725" t="s">
        <v>25</v>
      </c>
      <c r="L3725" t="s">
        <v>26</v>
      </c>
      <c r="M3725" t="b">
        <v>1</v>
      </c>
      <c r="N3725" t="s">
        <v>9012</v>
      </c>
      <c r="O3725" t="str">
        <f>"231.3"</f>
        <v>231.3</v>
      </c>
      <c r="Q3725" t="b">
        <v>0</v>
      </c>
      <c r="S3725" t="str">
        <f>"9780310340614"</f>
        <v>9780310340614</v>
      </c>
      <c r="T3725" t="str">
        <f>"9780310877172"</f>
        <v>9780310877172</v>
      </c>
      <c r="U3725" t="b">
        <v>0</v>
      </c>
      <c r="W3725" t="b">
        <v>0</v>
      </c>
    </row>
    <row r="3726" spans="1:23" x14ac:dyDescent="0.3">
      <c r="A3726">
        <v>1524938</v>
      </c>
      <c r="B3726">
        <v>86.22</v>
      </c>
      <c r="C3726" t="s">
        <v>6384</v>
      </c>
      <c r="E3726" t="s">
        <v>49</v>
      </c>
      <c r="F3726" t="s">
        <v>106</v>
      </c>
      <c r="G3726">
        <v>2015</v>
      </c>
      <c r="H3726" t="s">
        <v>71</v>
      </c>
      <c r="I3726" t="s">
        <v>9057</v>
      </c>
      <c r="J3726" t="s">
        <v>9058</v>
      </c>
      <c r="K3726" t="s">
        <v>25</v>
      </c>
      <c r="L3726" t="s">
        <v>26</v>
      </c>
      <c r="M3726" t="b">
        <v>1</v>
      </c>
      <c r="N3726" t="s">
        <v>9059</v>
      </c>
      <c r="O3726" t="str">
        <f>"231/.3"</f>
        <v>231/.3</v>
      </c>
      <c r="P3726" t="s">
        <v>7260</v>
      </c>
      <c r="Q3726" t="b">
        <v>0</v>
      </c>
      <c r="S3726" t="str">
        <f>"9780310491705"</f>
        <v>9780310491705</v>
      </c>
      <c r="T3726" t="str">
        <f>"9780310491729"</f>
        <v>9780310491729</v>
      </c>
      <c r="U3726" t="b">
        <v>0</v>
      </c>
      <c r="W3726" t="b">
        <v>0</v>
      </c>
    </row>
    <row r="3727" spans="1:23" x14ac:dyDescent="0.3">
      <c r="A3727">
        <v>1524937</v>
      </c>
      <c r="B3727">
        <v>37.92</v>
      </c>
      <c r="C3727" t="s">
        <v>9060</v>
      </c>
      <c r="D3727" t="s">
        <v>9061</v>
      </c>
      <c r="E3727" t="s">
        <v>23</v>
      </c>
      <c r="F3727" t="s">
        <v>44</v>
      </c>
      <c r="G3727">
        <v>2013</v>
      </c>
      <c r="H3727" t="s">
        <v>99</v>
      </c>
      <c r="K3727" t="s">
        <v>25</v>
      </c>
      <c r="L3727" t="s">
        <v>30</v>
      </c>
      <c r="M3727" t="b">
        <v>1</v>
      </c>
      <c r="N3727" t="s">
        <v>9062</v>
      </c>
      <c r="Q3727" t="b">
        <v>0</v>
      </c>
      <c r="S3727" t="str">
        <f>"9780310514824"</f>
        <v>9780310514824</v>
      </c>
      <c r="T3727" t="str">
        <f>"9780310514831"</f>
        <v>9780310514831</v>
      </c>
      <c r="U3727" t="b">
        <v>0</v>
      </c>
      <c r="W3727" t="b">
        <v>0</v>
      </c>
    </row>
    <row r="3728" spans="1:23" x14ac:dyDescent="0.3">
      <c r="A3728">
        <v>1524936</v>
      </c>
      <c r="B3728">
        <v>68.97</v>
      </c>
      <c r="C3728" t="s">
        <v>9063</v>
      </c>
      <c r="D3728" t="s">
        <v>9064</v>
      </c>
      <c r="E3728" t="s">
        <v>23</v>
      </c>
      <c r="F3728" t="s">
        <v>44</v>
      </c>
      <c r="G3728">
        <v>2011</v>
      </c>
      <c r="H3728" t="s">
        <v>71</v>
      </c>
      <c r="I3728" t="s">
        <v>8102</v>
      </c>
      <c r="J3728" t="s">
        <v>9065</v>
      </c>
      <c r="K3728" t="s">
        <v>25</v>
      </c>
      <c r="L3728" t="s">
        <v>26</v>
      </c>
      <c r="M3728" t="b">
        <v>1</v>
      </c>
      <c r="N3728" t="s">
        <v>9066</v>
      </c>
      <c r="O3728" t="str">
        <f>"252/.56"</f>
        <v>252/.56</v>
      </c>
      <c r="Q3728" t="b">
        <v>0</v>
      </c>
      <c r="S3728" t="str">
        <f>"9780310331216"</f>
        <v>9780310331216</v>
      </c>
      <c r="T3728" t="str">
        <f>"9780310416746"</f>
        <v>9780310416746</v>
      </c>
      <c r="U3728" t="b">
        <v>0</v>
      </c>
      <c r="W3728" t="b">
        <v>0</v>
      </c>
    </row>
    <row r="3729" spans="1:23" x14ac:dyDescent="0.3">
      <c r="A3729">
        <v>1524935</v>
      </c>
      <c r="B3729">
        <v>51.72</v>
      </c>
      <c r="C3729" t="s">
        <v>9067</v>
      </c>
      <c r="D3729" t="s">
        <v>9068</v>
      </c>
      <c r="E3729" t="s">
        <v>23</v>
      </c>
      <c r="F3729" t="s">
        <v>106</v>
      </c>
      <c r="G3729">
        <v>2008</v>
      </c>
      <c r="H3729" t="s">
        <v>76</v>
      </c>
      <c r="I3729" t="s">
        <v>9069</v>
      </c>
      <c r="K3729" t="s">
        <v>25</v>
      </c>
      <c r="L3729" t="s">
        <v>30</v>
      </c>
      <c r="M3729" t="b">
        <v>1</v>
      </c>
      <c r="N3729" t="s">
        <v>5754</v>
      </c>
      <c r="O3729" t="str">
        <f>"222/.3506"</f>
        <v>222/.3506</v>
      </c>
      <c r="Q3729" t="b">
        <v>0</v>
      </c>
      <c r="S3729" t="str">
        <f>"9780310263913"</f>
        <v>9780310263913</v>
      </c>
      <c r="T3729" t="str">
        <f>"9780310853169"</f>
        <v>9780310853169</v>
      </c>
      <c r="U3729" t="b">
        <v>0</v>
      </c>
      <c r="W3729" t="b">
        <v>0</v>
      </c>
    </row>
    <row r="3730" spans="1:23" x14ac:dyDescent="0.3">
      <c r="A3730">
        <v>1524934</v>
      </c>
      <c r="B3730">
        <v>46.16</v>
      </c>
      <c r="C3730" t="s">
        <v>7274</v>
      </c>
      <c r="D3730" t="s">
        <v>9070</v>
      </c>
      <c r="E3730" t="s">
        <v>23</v>
      </c>
      <c r="F3730" t="s">
        <v>44</v>
      </c>
      <c r="G3730">
        <v>2013</v>
      </c>
      <c r="H3730" t="s">
        <v>736</v>
      </c>
      <c r="I3730" t="s">
        <v>7276</v>
      </c>
      <c r="J3730" t="s">
        <v>9071</v>
      </c>
      <c r="K3730" t="s">
        <v>25</v>
      </c>
      <c r="L3730" t="s">
        <v>30</v>
      </c>
      <c r="M3730" t="b">
        <v>1</v>
      </c>
      <c r="N3730" t="s">
        <v>7278</v>
      </c>
      <c r="O3730" t="str">
        <f>"248.8/8"</f>
        <v>248.8/8</v>
      </c>
      <c r="Q3730" t="b">
        <v>0</v>
      </c>
      <c r="S3730" t="str">
        <f>"9780310513971"</f>
        <v>9780310513971</v>
      </c>
      <c r="T3730" t="str">
        <f>"9780310513988"</f>
        <v>9780310513988</v>
      </c>
      <c r="U3730" t="b">
        <v>0</v>
      </c>
      <c r="W3730" t="b">
        <v>0</v>
      </c>
    </row>
    <row r="3731" spans="1:23" x14ac:dyDescent="0.3">
      <c r="A3731">
        <v>1524933</v>
      </c>
      <c r="B3731">
        <v>103.47</v>
      </c>
      <c r="C3731" t="s">
        <v>9072</v>
      </c>
      <c r="D3731" t="s">
        <v>9073</v>
      </c>
      <c r="E3731" t="s">
        <v>49</v>
      </c>
      <c r="F3731" t="s">
        <v>106</v>
      </c>
      <c r="G3731">
        <v>2009</v>
      </c>
      <c r="H3731" t="s">
        <v>2603</v>
      </c>
      <c r="I3731" t="s">
        <v>9074</v>
      </c>
      <c r="J3731" t="s">
        <v>9075</v>
      </c>
      <c r="K3731" t="s">
        <v>25</v>
      </c>
      <c r="L3731" t="s">
        <v>26</v>
      </c>
      <c r="M3731" t="b">
        <v>1</v>
      </c>
      <c r="N3731" t="s">
        <v>8562</v>
      </c>
      <c r="O3731" t="str">
        <f>"230/.01"</f>
        <v>230/.01</v>
      </c>
      <c r="Q3731" t="b">
        <v>0</v>
      </c>
      <c r="S3731" t="str">
        <f>"9780310479109"</f>
        <v>9780310479109</v>
      </c>
      <c r="T3731" t="str">
        <f>"9780310830689"</f>
        <v>9780310830689</v>
      </c>
      <c r="U3731" t="b">
        <v>0</v>
      </c>
      <c r="V3731" t="s">
        <v>2872</v>
      </c>
      <c r="W3731" t="b">
        <v>0</v>
      </c>
    </row>
    <row r="3732" spans="1:23" x14ac:dyDescent="0.3">
      <c r="A3732">
        <v>1524932</v>
      </c>
      <c r="B3732">
        <v>68.97</v>
      </c>
      <c r="C3732" t="s">
        <v>9076</v>
      </c>
      <c r="D3732" t="s">
        <v>9077</v>
      </c>
      <c r="E3732" t="s">
        <v>49</v>
      </c>
      <c r="F3732" t="s">
        <v>44</v>
      </c>
      <c r="G3732">
        <v>2010</v>
      </c>
      <c r="H3732" t="s">
        <v>3415</v>
      </c>
      <c r="I3732" t="s">
        <v>9078</v>
      </c>
      <c r="K3732" t="s">
        <v>25</v>
      </c>
      <c r="L3732" t="s">
        <v>30</v>
      </c>
      <c r="M3732" t="b">
        <v>1</v>
      </c>
      <c r="N3732" t="s">
        <v>9079</v>
      </c>
      <c r="O3732" t="str">
        <f>"223/.2061"</f>
        <v>223/.2061</v>
      </c>
      <c r="P3732" t="s">
        <v>7297</v>
      </c>
      <c r="Q3732" t="b">
        <v>0</v>
      </c>
      <c r="S3732" t="str">
        <f>"9780310286899"</f>
        <v>9780310286899</v>
      </c>
      <c r="T3732" t="str">
        <f>"9780310492740"</f>
        <v>9780310492740</v>
      </c>
      <c r="U3732" t="b">
        <v>0</v>
      </c>
      <c r="W3732" t="b">
        <v>0</v>
      </c>
    </row>
    <row r="3733" spans="1:23" x14ac:dyDescent="0.3">
      <c r="A3733">
        <v>1524931</v>
      </c>
      <c r="B3733">
        <v>93.12</v>
      </c>
      <c r="C3733" t="s">
        <v>9080</v>
      </c>
      <c r="D3733" t="s">
        <v>9081</v>
      </c>
      <c r="E3733" t="s">
        <v>49</v>
      </c>
      <c r="F3733" t="s">
        <v>44</v>
      </c>
      <c r="G3733">
        <v>2015</v>
      </c>
      <c r="H3733" t="s">
        <v>804</v>
      </c>
      <c r="I3733" t="s">
        <v>9082</v>
      </c>
      <c r="J3733" t="s">
        <v>6388</v>
      </c>
      <c r="K3733" t="s">
        <v>25</v>
      </c>
      <c r="L3733" t="s">
        <v>26</v>
      </c>
      <c r="M3733" t="b">
        <v>1</v>
      </c>
      <c r="N3733" t="s">
        <v>2721</v>
      </c>
      <c r="O3733" t="str">
        <f>"253"</f>
        <v>253</v>
      </c>
      <c r="Q3733" t="b">
        <v>0</v>
      </c>
      <c r="S3733" t="str">
        <f>"9780310494577"</f>
        <v>9780310494577</v>
      </c>
      <c r="T3733" t="str">
        <f>"9780310494584"</f>
        <v>9780310494584</v>
      </c>
      <c r="U3733" t="b">
        <v>0</v>
      </c>
      <c r="W3733" t="b">
        <v>0</v>
      </c>
    </row>
    <row r="3734" spans="1:23" x14ac:dyDescent="0.3">
      <c r="A3734">
        <v>1524929</v>
      </c>
      <c r="B3734">
        <v>93.12</v>
      </c>
      <c r="C3734" t="s">
        <v>9083</v>
      </c>
      <c r="D3734" t="s">
        <v>9084</v>
      </c>
      <c r="E3734" t="s">
        <v>49</v>
      </c>
      <c r="F3734" t="s">
        <v>44</v>
      </c>
      <c r="G3734">
        <v>2014</v>
      </c>
      <c r="H3734" t="s">
        <v>71</v>
      </c>
      <c r="I3734" t="s">
        <v>9085</v>
      </c>
      <c r="J3734" t="s">
        <v>9086</v>
      </c>
      <c r="K3734" t="s">
        <v>25</v>
      </c>
      <c r="L3734" t="s">
        <v>26</v>
      </c>
      <c r="M3734" t="b">
        <v>1</v>
      </c>
      <c r="N3734" t="s">
        <v>6715</v>
      </c>
      <c r="O3734" t="str">
        <f>"232/.3"</f>
        <v>232/.3</v>
      </c>
      <c r="Q3734" t="b">
        <v>0</v>
      </c>
      <c r="S3734" t="str">
        <f>"9780310516743"</f>
        <v>9780310516743</v>
      </c>
      <c r="T3734" t="str">
        <f>"9780310516668"</f>
        <v>9780310516668</v>
      </c>
      <c r="U3734" t="b">
        <v>0</v>
      </c>
      <c r="W3734" t="b">
        <v>0</v>
      </c>
    </row>
    <row r="3735" spans="1:23" x14ac:dyDescent="0.3">
      <c r="A3735">
        <v>1524928</v>
      </c>
      <c r="B3735">
        <v>113.82</v>
      </c>
      <c r="C3735" t="s">
        <v>9087</v>
      </c>
      <c r="E3735" t="s">
        <v>49</v>
      </c>
      <c r="F3735" t="s">
        <v>106</v>
      </c>
      <c r="G3735">
        <v>2010</v>
      </c>
      <c r="H3735" t="s">
        <v>76</v>
      </c>
      <c r="I3735" t="s">
        <v>8671</v>
      </c>
      <c r="J3735" t="s">
        <v>895</v>
      </c>
      <c r="K3735" t="s">
        <v>25</v>
      </c>
      <c r="L3735" t="s">
        <v>30</v>
      </c>
      <c r="M3735" t="b">
        <v>1</v>
      </c>
      <c r="N3735" t="s">
        <v>9088</v>
      </c>
      <c r="O3735" t="str">
        <f>"220.6/6"</f>
        <v>220.6/6</v>
      </c>
      <c r="Q3735" t="b">
        <v>0</v>
      </c>
      <c r="S3735" t="str">
        <f>"9780310230786"</f>
        <v>9780310230786</v>
      </c>
      <c r="T3735" t="str">
        <f>"9780310877424"</f>
        <v>9780310877424</v>
      </c>
      <c r="U3735" t="b">
        <v>0</v>
      </c>
      <c r="W3735" t="b">
        <v>0</v>
      </c>
    </row>
    <row r="3736" spans="1:23" x14ac:dyDescent="0.3">
      <c r="A3736">
        <v>1524927</v>
      </c>
      <c r="B3736">
        <v>68.97</v>
      </c>
      <c r="C3736" t="s">
        <v>9089</v>
      </c>
      <c r="E3736" t="s">
        <v>49</v>
      </c>
      <c r="F3736" t="s">
        <v>44</v>
      </c>
      <c r="G3736">
        <v>2003</v>
      </c>
      <c r="H3736" t="s">
        <v>5369</v>
      </c>
      <c r="I3736" t="s">
        <v>9090</v>
      </c>
      <c r="J3736" t="s">
        <v>9091</v>
      </c>
      <c r="K3736" t="s">
        <v>25</v>
      </c>
      <c r="L3736" t="s">
        <v>30</v>
      </c>
      <c r="M3736" t="b">
        <v>1</v>
      </c>
      <c r="N3736" t="s">
        <v>9092</v>
      </c>
      <c r="O3736" t="str">
        <f>"261"</f>
        <v>261</v>
      </c>
      <c r="Q3736" t="b">
        <v>0</v>
      </c>
      <c r="S3736" t="str">
        <f>"9780310254874"</f>
        <v>9780310254874</v>
      </c>
      <c r="T3736" t="str">
        <f>"9780310861379"</f>
        <v>9780310861379</v>
      </c>
      <c r="U3736" t="b">
        <v>0</v>
      </c>
      <c r="W3736" t="b">
        <v>0</v>
      </c>
    </row>
    <row r="3737" spans="1:23" x14ac:dyDescent="0.3">
      <c r="A3737">
        <v>1524926</v>
      </c>
      <c r="B3737">
        <v>74.59</v>
      </c>
      <c r="C3737" t="s">
        <v>9093</v>
      </c>
      <c r="E3737" t="s">
        <v>49</v>
      </c>
      <c r="F3737" t="s">
        <v>106</v>
      </c>
      <c r="G3737">
        <v>2009</v>
      </c>
      <c r="H3737" t="s">
        <v>1020</v>
      </c>
      <c r="I3737" t="s">
        <v>9094</v>
      </c>
      <c r="J3737" t="s">
        <v>9095</v>
      </c>
      <c r="K3737" t="s">
        <v>25</v>
      </c>
      <c r="L3737" t="s">
        <v>26</v>
      </c>
      <c r="M3737" t="b">
        <v>1</v>
      </c>
      <c r="N3737" t="s">
        <v>9096</v>
      </c>
      <c r="O3737" t="str">
        <f>"820.9/3823"</f>
        <v>820.9/3823</v>
      </c>
      <c r="Q3737" t="b">
        <v>0</v>
      </c>
      <c r="T3737" t="str">
        <f>"9780310861355"</f>
        <v>9780310861355</v>
      </c>
      <c r="U3737" t="b">
        <v>0</v>
      </c>
      <c r="W3737" t="b">
        <v>0</v>
      </c>
    </row>
    <row r="3738" spans="1:23" x14ac:dyDescent="0.3">
      <c r="A3738">
        <v>1524925</v>
      </c>
      <c r="B3738">
        <v>55.17</v>
      </c>
      <c r="C3738" t="s">
        <v>9097</v>
      </c>
      <c r="D3738" t="s">
        <v>9098</v>
      </c>
      <c r="E3738" t="s">
        <v>49</v>
      </c>
      <c r="F3738" t="s">
        <v>44</v>
      </c>
      <c r="G3738">
        <v>2010</v>
      </c>
      <c r="H3738" t="s">
        <v>52</v>
      </c>
      <c r="I3738" t="s">
        <v>3748</v>
      </c>
      <c r="J3738" t="s">
        <v>895</v>
      </c>
      <c r="K3738" t="s">
        <v>25</v>
      </c>
      <c r="L3738" t="s">
        <v>30</v>
      </c>
      <c r="M3738" t="b">
        <v>1</v>
      </c>
      <c r="N3738" t="s">
        <v>7983</v>
      </c>
      <c r="O3738" t="str">
        <f>"253.5"</f>
        <v>253.5</v>
      </c>
      <c r="P3738" t="s">
        <v>9099</v>
      </c>
      <c r="Q3738" t="b">
        <v>0</v>
      </c>
      <c r="S3738" t="str">
        <f>"9780310511502"</f>
        <v>9780310511502</v>
      </c>
      <c r="T3738" t="str">
        <f>"9780310871736"</f>
        <v>9780310871736</v>
      </c>
      <c r="U3738" t="b">
        <v>0</v>
      </c>
      <c r="W3738" t="b">
        <v>0</v>
      </c>
    </row>
    <row r="3739" spans="1:23" x14ac:dyDescent="0.3">
      <c r="A3739">
        <v>1524924</v>
      </c>
      <c r="B3739">
        <v>113.82</v>
      </c>
      <c r="C3739" t="s">
        <v>9100</v>
      </c>
      <c r="D3739" t="s">
        <v>9101</v>
      </c>
      <c r="E3739" t="s">
        <v>49</v>
      </c>
      <c r="F3739" t="s">
        <v>44</v>
      </c>
      <c r="G3739">
        <v>2001</v>
      </c>
      <c r="H3739" t="s">
        <v>6740</v>
      </c>
      <c r="I3739" t="s">
        <v>9102</v>
      </c>
      <c r="J3739" t="s">
        <v>9103</v>
      </c>
      <c r="K3739" t="s">
        <v>25</v>
      </c>
      <c r="L3739" t="s">
        <v>30</v>
      </c>
      <c r="M3739" t="b">
        <v>1</v>
      </c>
      <c r="N3739" t="s">
        <v>8754</v>
      </c>
      <c r="O3739" t="str">
        <f>"239/.9"</f>
        <v>239/.9</v>
      </c>
      <c r="Q3739" t="b">
        <v>0</v>
      </c>
      <c r="S3739" t="str">
        <f>"9780310232179"</f>
        <v>9780310232179</v>
      </c>
      <c r="T3739" t="str">
        <f>"9780310829065"</f>
        <v>9780310829065</v>
      </c>
      <c r="U3739" t="b">
        <v>0</v>
      </c>
      <c r="W3739" t="b">
        <v>0</v>
      </c>
    </row>
    <row r="3740" spans="1:23" x14ac:dyDescent="0.3">
      <c r="A3740">
        <v>1524923</v>
      </c>
      <c r="B3740">
        <v>86.22</v>
      </c>
      <c r="C3740" t="s">
        <v>9104</v>
      </c>
      <c r="D3740" t="s">
        <v>9105</v>
      </c>
      <c r="E3740" t="s">
        <v>49</v>
      </c>
      <c r="F3740" t="s">
        <v>106</v>
      </c>
      <c r="G3740">
        <v>2010</v>
      </c>
      <c r="H3740" t="s">
        <v>71</v>
      </c>
      <c r="I3740" t="s">
        <v>9106</v>
      </c>
      <c r="J3740" t="s">
        <v>895</v>
      </c>
      <c r="K3740" t="s">
        <v>25</v>
      </c>
      <c r="L3740" t="s">
        <v>26</v>
      </c>
      <c r="M3740" t="b">
        <v>1</v>
      </c>
      <c r="N3740" t="s">
        <v>9107</v>
      </c>
      <c r="O3740" t="str">
        <f>"200"</f>
        <v>200</v>
      </c>
      <c r="Q3740" t="b">
        <v>0</v>
      </c>
      <c r="S3740" t="str">
        <f>"9780310304418"</f>
        <v>9780310304418</v>
      </c>
      <c r="T3740" t="str">
        <f>"9780310877196"</f>
        <v>9780310877196</v>
      </c>
      <c r="U3740" t="b">
        <v>0</v>
      </c>
      <c r="W3740" t="b">
        <v>0</v>
      </c>
    </row>
    <row r="3741" spans="1:23" x14ac:dyDescent="0.3">
      <c r="A3741">
        <v>1524922</v>
      </c>
      <c r="B3741">
        <v>34.47</v>
      </c>
      <c r="C3741" t="s">
        <v>1319</v>
      </c>
      <c r="E3741" t="s">
        <v>49</v>
      </c>
      <c r="F3741" t="s">
        <v>44</v>
      </c>
      <c r="G3741">
        <v>2010</v>
      </c>
      <c r="H3741" t="s">
        <v>881</v>
      </c>
      <c r="I3741" t="s">
        <v>9108</v>
      </c>
      <c r="J3741" t="s">
        <v>895</v>
      </c>
      <c r="K3741" t="s">
        <v>25</v>
      </c>
      <c r="L3741" t="s">
        <v>30</v>
      </c>
      <c r="M3741" t="b">
        <v>1</v>
      </c>
      <c r="N3741" t="s">
        <v>7314</v>
      </c>
      <c r="O3741" t="str">
        <f>"220"</f>
        <v>220</v>
      </c>
      <c r="Q3741" t="b">
        <v>0</v>
      </c>
      <c r="S3741" t="str">
        <f>"9780310500315"</f>
        <v>9780310500315</v>
      </c>
      <c r="T3741" t="str">
        <f>"9780310877394"</f>
        <v>9780310877394</v>
      </c>
      <c r="U3741" t="b">
        <v>0</v>
      </c>
      <c r="W3741" t="b">
        <v>0</v>
      </c>
    </row>
    <row r="3742" spans="1:23" x14ac:dyDescent="0.3">
      <c r="A3742">
        <v>1524921</v>
      </c>
      <c r="B3742">
        <v>99.46</v>
      </c>
      <c r="C3742" t="s">
        <v>9109</v>
      </c>
      <c r="E3742" t="s">
        <v>49</v>
      </c>
      <c r="F3742" t="s">
        <v>106</v>
      </c>
      <c r="G3742">
        <v>2009</v>
      </c>
      <c r="H3742" t="s">
        <v>71</v>
      </c>
      <c r="K3742" t="s">
        <v>25</v>
      </c>
      <c r="L3742" t="s">
        <v>26</v>
      </c>
      <c r="M3742" t="b">
        <v>1</v>
      </c>
      <c r="N3742" t="s">
        <v>9110</v>
      </c>
      <c r="P3742" t="s">
        <v>181</v>
      </c>
      <c r="Q3742" t="b">
        <v>0</v>
      </c>
      <c r="S3742" t="str">
        <f>"9780310234180"</f>
        <v>9780310234180</v>
      </c>
      <c r="T3742" t="str">
        <f>"9780310828822"</f>
        <v>9780310828822</v>
      </c>
      <c r="U3742" t="b">
        <v>0</v>
      </c>
      <c r="W3742" t="b">
        <v>0</v>
      </c>
    </row>
    <row r="3743" spans="1:23" x14ac:dyDescent="0.3">
      <c r="A3743">
        <v>1524920</v>
      </c>
      <c r="B3743">
        <v>42.61</v>
      </c>
      <c r="C3743" t="s">
        <v>9111</v>
      </c>
      <c r="E3743" t="s">
        <v>49</v>
      </c>
      <c r="F3743" t="s">
        <v>106</v>
      </c>
      <c r="G3743">
        <v>2009</v>
      </c>
      <c r="H3743" t="s">
        <v>881</v>
      </c>
      <c r="I3743" t="s">
        <v>9112</v>
      </c>
      <c r="K3743" t="s">
        <v>25</v>
      </c>
      <c r="L3743" t="s">
        <v>30</v>
      </c>
      <c r="M3743" t="b">
        <v>1</v>
      </c>
      <c r="N3743" t="s">
        <v>9051</v>
      </c>
      <c r="O3743" t="str">
        <f>"220.9/1"</f>
        <v>220.9/1</v>
      </c>
      <c r="P3743" t="s">
        <v>9113</v>
      </c>
      <c r="Q3743" t="b">
        <v>0</v>
      </c>
      <c r="S3743" t="str">
        <f>"9780310280446"</f>
        <v>9780310280446</v>
      </c>
      <c r="T3743" t="str">
        <f>"9780310865780"</f>
        <v>9780310865780</v>
      </c>
      <c r="U3743" t="b">
        <v>0</v>
      </c>
      <c r="W3743" t="b">
        <v>0</v>
      </c>
    </row>
    <row r="3744" spans="1:23" x14ac:dyDescent="0.3">
      <c r="A3744">
        <v>1524919</v>
      </c>
      <c r="B3744">
        <v>51.72</v>
      </c>
      <c r="C3744" t="s">
        <v>9114</v>
      </c>
      <c r="D3744" t="s">
        <v>9115</v>
      </c>
      <c r="E3744" t="s">
        <v>49</v>
      </c>
      <c r="F3744" t="s">
        <v>44</v>
      </c>
      <c r="G3744">
        <v>2010</v>
      </c>
      <c r="H3744" t="s">
        <v>53</v>
      </c>
      <c r="I3744" t="s">
        <v>8974</v>
      </c>
      <c r="J3744" t="s">
        <v>895</v>
      </c>
      <c r="K3744" t="s">
        <v>25</v>
      </c>
      <c r="L3744" t="s">
        <v>30</v>
      </c>
      <c r="M3744" t="b">
        <v>1</v>
      </c>
      <c r="N3744" t="s">
        <v>9116</v>
      </c>
      <c r="O3744" t="str">
        <f>"236"</f>
        <v>236</v>
      </c>
      <c r="Q3744" t="b">
        <v>0</v>
      </c>
      <c r="S3744" t="str">
        <f>"9780310347019"</f>
        <v>9780310347019</v>
      </c>
      <c r="T3744" t="str">
        <f>"9780310877479"</f>
        <v>9780310877479</v>
      </c>
      <c r="U3744" t="b">
        <v>0</v>
      </c>
      <c r="W3744" t="b">
        <v>0</v>
      </c>
    </row>
    <row r="3745" spans="1:23" x14ac:dyDescent="0.3">
      <c r="A3745">
        <v>1524918</v>
      </c>
      <c r="B3745">
        <v>65.52</v>
      </c>
      <c r="C3745" t="s">
        <v>9117</v>
      </c>
      <c r="D3745" t="s">
        <v>9118</v>
      </c>
      <c r="E3745" t="s">
        <v>49</v>
      </c>
      <c r="F3745" t="s">
        <v>44</v>
      </c>
      <c r="G3745">
        <v>2010</v>
      </c>
      <c r="H3745" t="s">
        <v>756</v>
      </c>
      <c r="I3745" t="s">
        <v>9119</v>
      </c>
      <c r="J3745" t="s">
        <v>9120</v>
      </c>
      <c r="K3745" t="s">
        <v>25</v>
      </c>
      <c r="L3745" t="s">
        <v>30</v>
      </c>
      <c r="M3745" t="b">
        <v>1</v>
      </c>
      <c r="N3745" t="s">
        <v>1041</v>
      </c>
      <c r="O3745" t="str">
        <f>"248/.5"</f>
        <v>248/.5</v>
      </c>
      <c r="Q3745" t="b">
        <v>0</v>
      </c>
      <c r="S3745" t="str">
        <f>"9780310328636"</f>
        <v>9780310328636</v>
      </c>
      <c r="T3745" t="str">
        <f>"9780310572022"</f>
        <v>9780310572022</v>
      </c>
      <c r="U3745" t="b">
        <v>0</v>
      </c>
      <c r="W3745" t="b">
        <v>0</v>
      </c>
    </row>
    <row r="3746" spans="1:23" x14ac:dyDescent="0.3">
      <c r="A3746">
        <v>1524917</v>
      </c>
      <c r="B3746">
        <v>79.319999999999993</v>
      </c>
      <c r="C3746" t="s">
        <v>9121</v>
      </c>
      <c r="D3746" t="s">
        <v>9122</v>
      </c>
      <c r="E3746" t="s">
        <v>49</v>
      </c>
      <c r="F3746" t="s">
        <v>44</v>
      </c>
      <c r="G3746">
        <v>2010</v>
      </c>
      <c r="H3746" t="s">
        <v>756</v>
      </c>
      <c r="I3746" t="s">
        <v>9123</v>
      </c>
      <c r="J3746" t="s">
        <v>9124</v>
      </c>
      <c r="K3746" t="s">
        <v>25</v>
      </c>
      <c r="L3746" t="s">
        <v>30</v>
      </c>
      <c r="M3746" t="b">
        <v>1</v>
      </c>
      <c r="N3746" t="s">
        <v>8562</v>
      </c>
      <c r="O3746" t="str">
        <f>"269.2"</f>
        <v>269.2</v>
      </c>
      <c r="Q3746" t="b">
        <v>0</v>
      </c>
      <c r="S3746" t="str">
        <f>"9780310243342"</f>
        <v>9780310243342</v>
      </c>
      <c r="T3746" t="str">
        <f>"9780310860426"</f>
        <v>9780310860426</v>
      </c>
      <c r="U3746" t="b">
        <v>0</v>
      </c>
      <c r="W3746" t="b">
        <v>0</v>
      </c>
    </row>
    <row r="3747" spans="1:23" x14ac:dyDescent="0.3">
      <c r="A3747">
        <v>1524916</v>
      </c>
      <c r="B3747">
        <v>58.62</v>
      </c>
      <c r="C3747" t="s">
        <v>9125</v>
      </c>
      <c r="D3747" t="s">
        <v>9126</v>
      </c>
      <c r="E3747" t="s">
        <v>49</v>
      </c>
      <c r="F3747" t="s">
        <v>44</v>
      </c>
      <c r="G3747">
        <v>2015</v>
      </c>
      <c r="H3747" t="s">
        <v>71</v>
      </c>
      <c r="I3747" t="s">
        <v>9127</v>
      </c>
      <c r="J3747" t="s">
        <v>9128</v>
      </c>
      <c r="K3747" t="s">
        <v>25</v>
      </c>
      <c r="L3747" t="s">
        <v>30</v>
      </c>
      <c r="M3747" t="b">
        <v>1</v>
      </c>
      <c r="N3747" t="s">
        <v>3099</v>
      </c>
      <c r="O3747" t="str">
        <f>"282"</f>
        <v>282</v>
      </c>
      <c r="Q3747" t="b">
        <v>0</v>
      </c>
      <c r="S3747" t="str">
        <f>"9780310518143"</f>
        <v>9780310518143</v>
      </c>
      <c r="T3747" t="str">
        <f>"9780310518150"</f>
        <v>9780310518150</v>
      </c>
      <c r="U3747" t="b">
        <v>0</v>
      </c>
      <c r="W3747" t="b">
        <v>0</v>
      </c>
    </row>
    <row r="3748" spans="1:23" x14ac:dyDescent="0.3">
      <c r="A3748">
        <v>1524915</v>
      </c>
      <c r="B3748">
        <v>58.62</v>
      </c>
      <c r="C3748" t="s">
        <v>9129</v>
      </c>
      <c r="E3748" t="s">
        <v>49</v>
      </c>
      <c r="F3748" t="s">
        <v>44</v>
      </c>
      <c r="G3748">
        <v>2009</v>
      </c>
      <c r="H3748" t="s">
        <v>756</v>
      </c>
      <c r="I3748" t="s">
        <v>9130</v>
      </c>
      <c r="J3748" t="s">
        <v>9131</v>
      </c>
      <c r="K3748" t="s">
        <v>25</v>
      </c>
      <c r="L3748" t="s">
        <v>26</v>
      </c>
      <c r="M3748" t="b">
        <v>1</v>
      </c>
      <c r="N3748" t="s">
        <v>5348</v>
      </c>
      <c r="O3748" t="str">
        <f>"269/.2"</f>
        <v>269/.2</v>
      </c>
      <c r="Q3748" t="b">
        <v>0</v>
      </c>
      <c r="S3748" t="str">
        <f>"9780310286134"</f>
        <v>9780310286134</v>
      </c>
      <c r="T3748" t="str">
        <f>"9780310834106"</f>
        <v>9780310834106</v>
      </c>
      <c r="U3748" t="b">
        <v>0</v>
      </c>
      <c r="W3748" t="b">
        <v>0</v>
      </c>
    </row>
    <row r="3749" spans="1:23" x14ac:dyDescent="0.3">
      <c r="A3749">
        <v>1524914</v>
      </c>
      <c r="B3749">
        <v>58.62</v>
      </c>
      <c r="C3749" t="s">
        <v>9132</v>
      </c>
      <c r="D3749" t="s">
        <v>9133</v>
      </c>
      <c r="E3749" t="s">
        <v>23</v>
      </c>
      <c r="F3749" t="s">
        <v>106</v>
      </c>
      <c r="G3749">
        <v>1996</v>
      </c>
      <c r="H3749" t="s">
        <v>1209</v>
      </c>
      <c r="I3749" t="s">
        <v>8395</v>
      </c>
      <c r="J3749" t="s">
        <v>9134</v>
      </c>
      <c r="K3749" t="s">
        <v>25</v>
      </c>
      <c r="L3749" t="s">
        <v>30</v>
      </c>
      <c r="M3749" t="b">
        <v>1</v>
      </c>
      <c r="N3749" t="s">
        <v>3224</v>
      </c>
      <c r="O3749" t="str">
        <f>"234/.13"</f>
        <v>234/.13</v>
      </c>
      <c r="Q3749" t="b">
        <v>0</v>
      </c>
      <c r="S3749" t="str">
        <f>"9780310462002"</f>
        <v>9780310462002</v>
      </c>
      <c r="T3749" t="str">
        <f>"9780310873921"</f>
        <v>9780310873921</v>
      </c>
      <c r="U3749" t="b">
        <v>0</v>
      </c>
      <c r="W3749" t="b">
        <v>0</v>
      </c>
    </row>
    <row r="3750" spans="1:23" x14ac:dyDescent="0.3">
      <c r="A3750">
        <v>1524913</v>
      </c>
      <c r="B3750">
        <v>68.97</v>
      </c>
      <c r="C3750" t="s">
        <v>9135</v>
      </c>
      <c r="D3750" t="s">
        <v>9136</v>
      </c>
      <c r="E3750" t="s">
        <v>49</v>
      </c>
      <c r="F3750" t="s">
        <v>44</v>
      </c>
      <c r="G3750">
        <v>2010</v>
      </c>
      <c r="H3750" t="s">
        <v>804</v>
      </c>
      <c r="I3750" t="s">
        <v>9137</v>
      </c>
      <c r="J3750" t="s">
        <v>9138</v>
      </c>
      <c r="K3750" t="s">
        <v>25</v>
      </c>
      <c r="L3750" t="s">
        <v>30</v>
      </c>
      <c r="M3750" t="b">
        <v>1</v>
      </c>
      <c r="N3750" t="s">
        <v>6415</v>
      </c>
      <c r="O3750" t="str">
        <f>"254/.0995"</f>
        <v>254/.0995</v>
      </c>
      <c r="Q3750" t="b">
        <v>0</v>
      </c>
      <c r="S3750" t="str">
        <f>"9780310324645"</f>
        <v>9780310324645</v>
      </c>
      <c r="T3750" t="str">
        <f>"9780310576181"</f>
        <v>9780310576181</v>
      </c>
      <c r="U3750" t="b">
        <v>0</v>
      </c>
      <c r="W3750" t="b">
        <v>0</v>
      </c>
    </row>
    <row r="3751" spans="1:23" x14ac:dyDescent="0.3">
      <c r="A3751">
        <v>1524912</v>
      </c>
      <c r="B3751">
        <v>68.97</v>
      </c>
      <c r="C3751" t="s">
        <v>9139</v>
      </c>
      <c r="D3751" t="s">
        <v>9140</v>
      </c>
      <c r="E3751" t="s">
        <v>49</v>
      </c>
      <c r="F3751" t="s">
        <v>106</v>
      </c>
      <c r="G3751">
        <v>2011</v>
      </c>
      <c r="H3751" t="s">
        <v>71</v>
      </c>
      <c r="I3751" t="s">
        <v>9141</v>
      </c>
      <c r="J3751" t="s">
        <v>9142</v>
      </c>
      <c r="K3751" t="s">
        <v>25</v>
      </c>
      <c r="L3751" t="s">
        <v>30</v>
      </c>
      <c r="M3751" t="b">
        <v>1</v>
      </c>
      <c r="N3751" t="s">
        <v>9143</v>
      </c>
      <c r="O3751" t="str">
        <f>"270.8/2"</f>
        <v>270.8/2</v>
      </c>
      <c r="Q3751" t="b">
        <v>0</v>
      </c>
      <c r="S3751" t="str">
        <f>"9780310235071"</f>
        <v>9780310235071</v>
      </c>
      <c r="T3751" t="str">
        <f>"9780310864158"</f>
        <v>9780310864158</v>
      </c>
      <c r="U3751" t="b">
        <v>0</v>
      </c>
      <c r="W3751" t="b">
        <v>0</v>
      </c>
    </row>
    <row r="3752" spans="1:23" x14ac:dyDescent="0.3">
      <c r="A3752">
        <v>1524911</v>
      </c>
      <c r="B3752">
        <v>155.22</v>
      </c>
      <c r="C3752" t="s">
        <v>9144</v>
      </c>
      <c r="D3752" t="s">
        <v>9145</v>
      </c>
      <c r="E3752" t="s">
        <v>49</v>
      </c>
      <c r="F3752" t="s">
        <v>106</v>
      </c>
      <c r="G3752">
        <v>2015</v>
      </c>
      <c r="H3752" t="s">
        <v>98</v>
      </c>
      <c r="I3752" t="s">
        <v>8484</v>
      </c>
      <c r="J3752" t="s">
        <v>9146</v>
      </c>
      <c r="K3752" t="s">
        <v>25</v>
      </c>
      <c r="L3752" t="s">
        <v>26</v>
      </c>
      <c r="M3752" t="b">
        <v>1</v>
      </c>
      <c r="N3752" t="s">
        <v>9147</v>
      </c>
      <c r="O3752" t="str">
        <f>"220.7"</f>
        <v>220.7</v>
      </c>
      <c r="Q3752" t="b">
        <v>0</v>
      </c>
      <c r="S3752" t="str">
        <f>"9780310286868"</f>
        <v>9780310286868</v>
      </c>
      <c r="T3752" t="str">
        <f>"9780310559627"</f>
        <v>9780310559627</v>
      </c>
      <c r="U3752" t="b">
        <v>0</v>
      </c>
      <c r="W3752" t="b">
        <v>0</v>
      </c>
    </row>
    <row r="3753" spans="1:23" x14ac:dyDescent="0.3">
      <c r="A3753">
        <v>1524910</v>
      </c>
      <c r="B3753">
        <v>62.07</v>
      </c>
      <c r="C3753" t="s">
        <v>9148</v>
      </c>
      <c r="D3753" t="s">
        <v>9149</v>
      </c>
      <c r="E3753" t="s">
        <v>49</v>
      </c>
      <c r="F3753" t="s">
        <v>106</v>
      </c>
      <c r="G3753">
        <v>2010</v>
      </c>
      <c r="H3753" t="s">
        <v>5772</v>
      </c>
      <c r="I3753" t="s">
        <v>9150</v>
      </c>
      <c r="J3753" t="s">
        <v>9151</v>
      </c>
      <c r="K3753" t="s">
        <v>25</v>
      </c>
      <c r="L3753" t="s">
        <v>30</v>
      </c>
      <c r="M3753" t="b">
        <v>1</v>
      </c>
      <c r="N3753" t="s">
        <v>9152</v>
      </c>
      <c r="O3753" t="str">
        <f>"230/.0411"</f>
        <v>230/.0411</v>
      </c>
      <c r="P3753" t="s">
        <v>6463</v>
      </c>
      <c r="Q3753" t="b">
        <v>0</v>
      </c>
      <c r="S3753" t="str">
        <f>"9780310245681"</f>
        <v>9780310245681</v>
      </c>
      <c r="T3753" t="str">
        <f>"9780310873761"</f>
        <v>9780310873761</v>
      </c>
      <c r="U3753" t="b">
        <v>0</v>
      </c>
      <c r="W3753" t="b">
        <v>0</v>
      </c>
    </row>
    <row r="3754" spans="1:23" x14ac:dyDescent="0.3">
      <c r="A3754">
        <v>1524909</v>
      </c>
      <c r="B3754">
        <v>51.72</v>
      </c>
      <c r="C3754" t="s">
        <v>9153</v>
      </c>
      <c r="D3754" t="s">
        <v>9154</v>
      </c>
      <c r="E3754" t="s">
        <v>23</v>
      </c>
      <c r="F3754" t="s">
        <v>44</v>
      </c>
      <c r="G3754">
        <v>2009</v>
      </c>
      <c r="H3754" t="s">
        <v>1181</v>
      </c>
      <c r="I3754" t="s">
        <v>7901</v>
      </c>
      <c r="J3754" t="s">
        <v>895</v>
      </c>
      <c r="K3754" t="s">
        <v>25</v>
      </c>
      <c r="L3754" t="s">
        <v>30</v>
      </c>
      <c r="M3754" t="b">
        <v>1</v>
      </c>
      <c r="N3754" t="s">
        <v>9155</v>
      </c>
      <c r="O3754" t="str">
        <f>"251"</f>
        <v>251</v>
      </c>
      <c r="Q3754" t="b">
        <v>0</v>
      </c>
      <c r="S3754" t="str">
        <f>"9780310286738"</f>
        <v>9780310286738</v>
      </c>
      <c r="T3754" t="str">
        <f>"9780310574682"</f>
        <v>9780310574682</v>
      </c>
      <c r="U3754" t="b">
        <v>0</v>
      </c>
      <c r="W3754" t="b">
        <v>0</v>
      </c>
    </row>
    <row r="3755" spans="1:23" x14ac:dyDescent="0.3">
      <c r="A3755">
        <v>1524907</v>
      </c>
      <c r="B3755">
        <v>103.47</v>
      </c>
      <c r="C3755" t="s">
        <v>9156</v>
      </c>
      <c r="E3755" t="s">
        <v>49</v>
      </c>
      <c r="F3755" t="s">
        <v>106</v>
      </c>
      <c r="G3755">
        <v>2013</v>
      </c>
      <c r="H3755" t="s">
        <v>1181</v>
      </c>
      <c r="I3755" t="s">
        <v>9157</v>
      </c>
      <c r="K3755" t="s">
        <v>25</v>
      </c>
      <c r="L3755" t="s">
        <v>26</v>
      </c>
      <c r="M3755" t="b">
        <v>1</v>
      </c>
      <c r="N3755" t="s">
        <v>851</v>
      </c>
      <c r="O3755" t="str">
        <f>"226.9/07"</f>
        <v>226.9/07</v>
      </c>
      <c r="P3755" t="s">
        <v>930</v>
      </c>
      <c r="Q3755" t="b">
        <v>0</v>
      </c>
      <c r="S3755" t="str">
        <f>"9780310327134"</f>
        <v>9780310327134</v>
      </c>
      <c r="T3755" t="str">
        <f>"9780310599012"</f>
        <v>9780310599012</v>
      </c>
      <c r="U3755" t="b">
        <v>0</v>
      </c>
      <c r="W3755" t="b">
        <v>0</v>
      </c>
    </row>
    <row r="3756" spans="1:23" x14ac:dyDescent="0.3">
      <c r="A3756">
        <v>1524906</v>
      </c>
      <c r="B3756">
        <v>51.72</v>
      </c>
      <c r="C3756" t="s">
        <v>9158</v>
      </c>
      <c r="D3756" t="s">
        <v>9159</v>
      </c>
      <c r="E3756" t="s">
        <v>49</v>
      </c>
      <c r="F3756" t="s">
        <v>44</v>
      </c>
      <c r="G3756">
        <v>2014</v>
      </c>
      <c r="H3756" t="s">
        <v>6412</v>
      </c>
      <c r="I3756" t="s">
        <v>9160</v>
      </c>
      <c r="J3756" t="s">
        <v>9161</v>
      </c>
      <c r="K3756" t="s">
        <v>25</v>
      </c>
      <c r="L3756" t="s">
        <v>30</v>
      </c>
      <c r="M3756" t="b">
        <v>1</v>
      </c>
      <c r="N3756" t="s">
        <v>9162</v>
      </c>
      <c r="O3756" t="str">
        <f>"259/.4196831"</f>
        <v>259/.4196831</v>
      </c>
      <c r="Q3756" t="b">
        <v>0</v>
      </c>
      <c r="S3756" t="str">
        <f>"9780310513872"</f>
        <v>9780310513872</v>
      </c>
      <c r="T3756" t="str">
        <f>"9780310513889"</f>
        <v>9780310513889</v>
      </c>
      <c r="U3756" t="b">
        <v>0</v>
      </c>
      <c r="W3756" t="b">
        <v>0</v>
      </c>
    </row>
    <row r="3757" spans="1:23" x14ac:dyDescent="0.3">
      <c r="A3757">
        <v>1524905</v>
      </c>
      <c r="B3757">
        <v>113.82</v>
      </c>
      <c r="C3757" t="s">
        <v>9163</v>
      </c>
      <c r="D3757" t="s">
        <v>9164</v>
      </c>
      <c r="E3757" t="s">
        <v>49</v>
      </c>
      <c r="F3757" t="s">
        <v>44</v>
      </c>
      <c r="G3757">
        <v>2014</v>
      </c>
      <c r="H3757" t="s">
        <v>52</v>
      </c>
      <c r="I3757" t="s">
        <v>6884</v>
      </c>
      <c r="J3757" t="s">
        <v>9165</v>
      </c>
      <c r="K3757" t="s">
        <v>25</v>
      </c>
      <c r="L3757" t="s">
        <v>26</v>
      </c>
      <c r="M3757" t="b">
        <v>1</v>
      </c>
      <c r="N3757" t="s">
        <v>9166</v>
      </c>
      <c r="O3757" t="str">
        <f>"253.5"</f>
        <v>253.5</v>
      </c>
      <c r="Q3757" t="b">
        <v>0</v>
      </c>
      <c r="S3757" t="str">
        <f>"9780310516835"</f>
        <v>9780310516835</v>
      </c>
      <c r="T3757" t="str">
        <f>"9780310516842"</f>
        <v>9780310516842</v>
      </c>
      <c r="U3757" t="b">
        <v>0</v>
      </c>
      <c r="W3757" t="b">
        <v>0</v>
      </c>
    </row>
    <row r="3758" spans="1:23" x14ac:dyDescent="0.3">
      <c r="A3758">
        <v>1524904</v>
      </c>
      <c r="B3758">
        <v>63.93</v>
      </c>
      <c r="C3758" t="s">
        <v>9167</v>
      </c>
      <c r="D3758" t="s">
        <v>9168</v>
      </c>
      <c r="E3758" t="s">
        <v>49</v>
      </c>
      <c r="F3758" t="s">
        <v>106</v>
      </c>
      <c r="G3758">
        <v>2010</v>
      </c>
      <c r="H3758" t="s">
        <v>71</v>
      </c>
      <c r="K3758" t="s">
        <v>25</v>
      </c>
      <c r="L3758" t="s">
        <v>30</v>
      </c>
      <c r="M3758" t="b">
        <v>1</v>
      </c>
      <c r="N3758" t="s">
        <v>9169</v>
      </c>
      <c r="Q3758" t="b">
        <v>0</v>
      </c>
      <c r="S3758" t="str">
        <f>"9780310324683"</f>
        <v>9780310324683</v>
      </c>
      <c r="T3758" t="str">
        <f>"9780310576037"</f>
        <v>9780310576037</v>
      </c>
      <c r="U3758" t="b">
        <v>0</v>
      </c>
      <c r="W3758" t="b">
        <v>0</v>
      </c>
    </row>
    <row r="3759" spans="1:23" x14ac:dyDescent="0.3">
      <c r="A3759">
        <v>1524903</v>
      </c>
      <c r="B3759">
        <v>206.97</v>
      </c>
      <c r="C3759" t="s">
        <v>9170</v>
      </c>
      <c r="D3759" t="s">
        <v>9171</v>
      </c>
      <c r="E3759" t="s">
        <v>49</v>
      </c>
      <c r="F3759" t="s">
        <v>106</v>
      </c>
      <c r="G3759">
        <v>2002</v>
      </c>
      <c r="H3759" t="s">
        <v>101</v>
      </c>
      <c r="I3759" t="s">
        <v>9172</v>
      </c>
      <c r="K3759" t="s">
        <v>25</v>
      </c>
      <c r="L3759" t="s">
        <v>30</v>
      </c>
      <c r="M3759" t="b">
        <v>1</v>
      </c>
      <c r="N3759" t="s">
        <v>44</v>
      </c>
      <c r="O3759" t="str">
        <f>"225.7"</f>
        <v>225.7</v>
      </c>
      <c r="P3759" t="s">
        <v>6606</v>
      </c>
      <c r="Q3759" t="b">
        <v>0</v>
      </c>
      <c r="S3759" t="str">
        <f>"9780310218081"</f>
        <v>9780310218081</v>
      </c>
      <c r="T3759" t="str">
        <f>"9780310873709"</f>
        <v>9780310873709</v>
      </c>
      <c r="U3759" t="b">
        <v>0</v>
      </c>
      <c r="W3759" t="b">
        <v>0</v>
      </c>
    </row>
    <row r="3760" spans="1:23" x14ac:dyDescent="0.3">
      <c r="A3760">
        <v>1524902</v>
      </c>
      <c r="B3760">
        <v>59.97</v>
      </c>
      <c r="C3760" t="s">
        <v>3420</v>
      </c>
      <c r="E3760" t="s">
        <v>23</v>
      </c>
      <c r="F3760" t="s">
        <v>44</v>
      </c>
      <c r="G3760">
        <v>2012</v>
      </c>
      <c r="H3760" t="s">
        <v>98</v>
      </c>
      <c r="I3760" t="s">
        <v>9173</v>
      </c>
      <c r="K3760" t="s">
        <v>25</v>
      </c>
      <c r="L3760" t="s">
        <v>30</v>
      </c>
      <c r="M3760" t="b">
        <v>1</v>
      </c>
      <c r="N3760" t="s">
        <v>9174</v>
      </c>
      <c r="O3760" t="str">
        <f>"227/.107"</f>
        <v>227/.107</v>
      </c>
      <c r="P3760" t="s">
        <v>8828</v>
      </c>
      <c r="Q3760" t="b">
        <v>0</v>
      </c>
      <c r="S3760" t="str">
        <f>"9789966003065"</f>
        <v>9789966003065</v>
      </c>
      <c r="T3760" t="str">
        <f>"9780310413547"</f>
        <v>9780310413547</v>
      </c>
      <c r="U3760" t="b">
        <v>0</v>
      </c>
      <c r="W3760" t="b">
        <v>0</v>
      </c>
    </row>
    <row r="3761" spans="1:23" x14ac:dyDescent="0.3">
      <c r="A3761">
        <v>1524901</v>
      </c>
      <c r="B3761">
        <v>155.22</v>
      </c>
      <c r="C3761" t="s">
        <v>3420</v>
      </c>
      <c r="E3761" t="s">
        <v>49</v>
      </c>
      <c r="F3761" t="s">
        <v>106</v>
      </c>
      <c r="G3761">
        <v>2009</v>
      </c>
      <c r="H3761" t="s">
        <v>6799</v>
      </c>
      <c r="I3761" t="s">
        <v>9175</v>
      </c>
      <c r="K3761" t="s">
        <v>25</v>
      </c>
      <c r="L3761" t="s">
        <v>30</v>
      </c>
      <c r="M3761" t="b">
        <v>1</v>
      </c>
      <c r="N3761" t="s">
        <v>1173</v>
      </c>
      <c r="O3761" t="str">
        <f>"227/.1077"</f>
        <v>227/.1077</v>
      </c>
      <c r="P3761" t="s">
        <v>6300</v>
      </c>
      <c r="Q3761" t="b">
        <v>0</v>
      </c>
      <c r="S3761" t="str">
        <f>"9780310494003"</f>
        <v>9780310494003</v>
      </c>
      <c r="T3761" t="str">
        <f>"9780310559214"</f>
        <v>9780310559214</v>
      </c>
      <c r="U3761" t="b">
        <v>0</v>
      </c>
      <c r="V3761" t="s">
        <v>2872</v>
      </c>
      <c r="W3761" t="b">
        <v>0</v>
      </c>
    </row>
    <row r="3762" spans="1:23" x14ac:dyDescent="0.3">
      <c r="A3762">
        <v>1524900</v>
      </c>
      <c r="B3762">
        <v>65.52</v>
      </c>
      <c r="C3762" t="s">
        <v>9176</v>
      </c>
      <c r="E3762" t="s">
        <v>23</v>
      </c>
      <c r="F3762" t="s">
        <v>44</v>
      </c>
      <c r="G3762">
        <v>2010</v>
      </c>
      <c r="H3762" t="s">
        <v>739</v>
      </c>
      <c r="K3762" t="s">
        <v>25</v>
      </c>
      <c r="L3762" t="s">
        <v>30</v>
      </c>
      <c r="M3762" t="b">
        <v>1</v>
      </c>
      <c r="N3762" t="s">
        <v>3116</v>
      </c>
      <c r="Q3762" t="b">
        <v>0</v>
      </c>
      <c r="S3762" t="str">
        <f>"9780310230052"</f>
        <v>9780310230052</v>
      </c>
      <c r="T3762" t="str">
        <f>"9780310863762"</f>
        <v>9780310863762</v>
      </c>
      <c r="U3762" t="b">
        <v>0</v>
      </c>
      <c r="W3762" t="b">
        <v>0</v>
      </c>
    </row>
    <row r="3763" spans="1:23" x14ac:dyDescent="0.3">
      <c r="A3763">
        <v>1524899</v>
      </c>
      <c r="B3763">
        <v>120.72</v>
      </c>
      <c r="C3763" t="s">
        <v>133</v>
      </c>
      <c r="E3763" t="s">
        <v>49</v>
      </c>
      <c r="F3763" t="s">
        <v>106</v>
      </c>
      <c r="G3763">
        <v>2009</v>
      </c>
      <c r="H3763" t="s">
        <v>1181</v>
      </c>
      <c r="I3763" t="s">
        <v>9177</v>
      </c>
      <c r="K3763" t="s">
        <v>25</v>
      </c>
      <c r="L3763" t="s">
        <v>30</v>
      </c>
      <c r="M3763" t="b">
        <v>1</v>
      </c>
      <c r="N3763" t="s">
        <v>6605</v>
      </c>
      <c r="O3763" t="str">
        <f>"228/.077"</f>
        <v>228/.077</v>
      </c>
      <c r="P3763" t="s">
        <v>6300</v>
      </c>
      <c r="Q3763" t="b">
        <v>0</v>
      </c>
      <c r="S3763" t="str">
        <f>"9780310231929"</f>
        <v>9780310231929</v>
      </c>
      <c r="T3763" t="str">
        <f>"9780310559153"</f>
        <v>9780310559153</v>
      </c>
      <c r="U3763" t="b">
        <v>0</v>
      </c>
      <c r="V3763" t="s">
        <v>2872</v>
      </c>
      <c r="W3763" t="b">
        <v>0</v>
      </c>
    </row>
    <row r="3764" spans="1:23" x14ac:dyDescent="0.3">
      <c r="A3764">
        <v>1524898</v>
      </c>
      <c r="B3764">
        <v>58.62</v>
      </c>
      <c r="C3764" t="s">
        <v>9178</v>
      </c>
      <c r="D3764" t="s">
        <v>9179</v>
      </c>
      <c r="E3764" t="s">
        <v>49</v>
      </c>
      <c r="F3764" t="s">
        <v>44</v>
      </c>
      <c r="G3764">
        <v>2014</v>
      </c>
      <c r="H3764" t="s">
        <v>107</v>
      </c>
      <c r="I3764" t="s">
        <v>9180</v>
      </c>
      <c r="J3764" t="s">
        <v>9181</v>
      </c>
      <c r="K3764" t="s">
        <v>25</v>
      </c>
      <c r="L3764" t="s">
        <v>30</v>
      </c>
      <c r="M3764" t="b">
        <v>1</v>
      </c>
      <c r="N3764" t="s">
        <v>9182</v>
      </c>
      <c r="O3764" t="str">
        <f>"261.5/78"</f>
        <v>261.5/78</v>
      </c>
      <c r="Q3764" t="b">
        <v>0</v>
      </c>
      <c r="S3764" t="str">
        <f>"9780310516477"</f>
        <v>9780310516477</v>
      </c>
      <c r="T3764" t="str">
        <f>"9780310516491"</f>
        <v>9780310516491</v>
      </c>
      <c r="U3764" t="b">
        <v>0</v>
      </c>
      <c r="W3764" t="b">
        <v>0</v>
      </c>
    </row>
    <row r="3765" spans="1:23" x14ac:dyDescent="0.3">
      <c r="A3765">
        <v>1524897</v>
      </c>
      <c r="B3765">
        <v>310.47000000000003</v>
      </c>
      <c r="C3765" t="s">
        <v>9183</v>
      </c>
      <c r="D3765" t="s">
        <v>9184</v>
      </c>
      <c r="E3765" t="s">
        <v>49</v>
      </c>
      <c r="F3765" t="s">
        <v>106</v>
      </c>
      <c r="G3765">
        <v>2011</v>
      </c>
      <c r="H3765" t="s">
        <v>115</v>
      </c>
      <c r="I3765" t="s">
        <v>9185</v>
      </c>
      <c r="J3765" t="s">
        <v>9142</v>
      </c>
      <c r="K3765" t="s">
        <v>25</v>
      </c>
      <c r="L3765" t="s">
        <v>26</v>
      </c>
      <c r="M3765" t="b">
        <v>1</v>
      </c>
      <c r="N3765" t="s">
        <v>9186</v>
      </c>
      <c r="O3765" t="str">
        <f>"230"</f>
        <v>230</v>
      </c>
      <c r="Q3765" t="b">
        <v>0</v>
      </c>
      <c r="S3765" t="str">
        <f>"9780310209140"</f>
        <v>9780310209140</v>
      </c>
      <c r="T3765" t="str">
        <f>"9780310873679"</f>
        <v>9780310873679</v>
      </c>
      <c r="U3765" t="b">
        <v>0</v>
      </c>
      <c r="W3765" t="b">
        <v>0</v>
      </c>
    </row>
    <row r="3766" spans="1:23" x14ac:dyDescent="0.3">
      <c r="A3766">
        <v>1524896</v>
      </c>
      <c r="B3766">
        <v>58.62</v>
      </c>
      <c r="C3766" t="s">
        <v>9187</v>
      </c>
      <c r="E3766" t="s">
        <v>49</v>
      </c>
      <c r="F3766" t="s">
        <v>44</v>
      </c>
      <c r="G3766">
        <v>2009</v>
      </c>
      <c r="H3766" t="s">
        <v>9188</v>
      </c>
      <c r="I3766" t="s">
        <v>9189</v>
      </c>
      <c r="J3766" t="s">
        <v>9190</v>
      </c>
      <c r="K3766" t="s">
        <v>25</v>
      </c>
      <c r="L3766" t="s">
        <v>30</v>
      </c>
      <c r="M3766" t="b">
        <v>1</v>
      </c>
      <c r="N3766" t="s">
        <v>44</v>
      </c>
      <c r="O3766" t="str">
        <f>"248.844"</f>
        <v>248.844</v>
      </c>
      <c r="P3766" t="s">
        <v>9191</v>
      </c>
      <c r="Q3766" t="b">
        <v>0</v>
      </c>
      <c r="S3766" t="str">
        <f>"9780310255536"</f>
        <v>9780310255536</v>
      </c>
      <c r="T3766" t="str">
        <f>"9780310863755"</f>
        <v>9780310863755</v>
      </c>
      <c r="U3766" t="b">
        <v>0</v>
      </c>
      <c r="W3766" t="b">
        <v>0</v>
      </c>
    </row>
    <row r="3767" spans="1:23" x14ac:dyDescent="0.3">
      <c r="A3767">
        <v>1524895</v>
      </c>
      <c r="B3767">
        <v>58.62</v>
      </c>
      <c r="C3767" t="s">
        <v>9192</v>
      </c>
      <c r="D3767" t="s">
        <v>9193</v>
      </c>
      <c r="E3767" t="s">
        <v>23</v>
      </c>
      <c r="F3767" t="s">
        <v>44</v>
      </c>
      <c r="G3767">
        <v>2015</v>
      </c>
      <c r="H3767" t="s">
        <v>1122</v>
      </c>
      <c r="I3767" t="s">
        <v>5779</v>
      </c>
      <c r="J3767" t="s">
        <v>895</v>
      </c>
      <c r="K3767" t="s">
        <v>25</v>
      </c>
      <c r="L3767" t="s">
        <v>26</v>
      </c>
      <c r="M3767" t="b">
        <v>1</v>
      </c>
      <c r="N3767" t="s">
        <v>7727</v>
      </c>
      <c r="O3767" t="str">
        <f>"253"</f>
        <v>253</v>
      </c>
      <c r="Q3767" t="b">
        <v>0</v>
      </c>
      <c r="S3767" t="str">
        <f>"9780310521280"</f>
        <v>9780310521280</v>
      </c>
      <c r="T3767" t="str">
        <f>"9780310521297"</f>
        <v>9780310521297</v>
      </c>
      <c r="U3767" t="b">
        <v>0</v>
      </c>
      <c r="W3767" t="b">
        <v>0</v>
      </c>
    </row>
    <row r="3768" spans="1:23" x14ac:dyDescent="0.3">
      <c r="A3768">
        <v>1524894</v>
      </c>
      <c r="B3768">
        <v>56.82</v>
      </c>
      <c r="C3768" t="s">
        <v>9194</v>
      </c>
      <c r="D3768" t="s">
        <v>9195</v>
      </c>
      <c r="E3768" t="s">
        <v>23</v>
      </c>
      <c r="F3768" t="s">
        <v>44</v>
      </c>
      <c r="G3768">
        <v>2014</v>
      </c>
      <c r="H3768" t="s">
        <v>58</v>
      </c>
      <c r="I3768" t="s">
        <v>6413</v>
      </c>
      <c r="J3768" t="s">
        <v>3447</v>
      </c>
      <c r="K3768" t="s">
        <v>25</v>
      </c>
      <c r="L3768" t="s">
        <v>26</v>
      </c>
      <c r="M3768" t="b">
        <v>1</v>
      </c>
      <c r="N3768" t="s">
        <v>9196</v>
      </c>
      <c r="O3768" t="str">
        <f>"658.4/092"</f>
        <v>658.4/092</v>
      </c>
      <c r="Q3768" t="b">
        <v>0</v>
      </c>
      <c r="S3768" t="str">
        <f>"9780310215653"</f>
        <v>9780310215653</v>
      </c>
      <c r="T3768" t="str">
        <f>"9780310515067"</f>
        <v>9780310515067</v>
      </c>
      <c r="U3768" t="b">
        <v>0</v>
      </c>
      <c r="W3768" t="b">
        <v>0</v>
      </c>
    </row>
    <row r="3769" spans="1:23" x14ac:dyDescent="0.3">
      <c r="A3769">
        <v>1524893</v>
      </c>
      <c r="B3769">
        <v>68.97</v>
      </c>
      <c r="C3769" t="s">
        <v>9197</v>
      </c>
      <c r="D3769" t="s">
        <v>9198</v>
      </c>
      <c r="E3769" t="s">
        <v>49</v>
      </c>
      <c r="F3769" t="s">
        <v>106</v>
      </c>
      <c r="G3769">
        <v>2009</v>
      </c>
      <c r="H3769" t="s">
        <v>76</v>
      </c>
      <c r="I3769" t="s">
        <v>9199</v>
      </c>
      <c r="K3769" t="s">
        <v>25</v>
      </c>
      <c r="L3769" t="s">
        <v>30</v>
      </c>
      <c r="M3769" t="b">
        <v>1</v>
      </c>
      <c r="N3769" t="s">
        <v>8534</v>
      </c>
      <c r="O3769" t="str">
        <f>"220.1"</f>
        <v>220.1</v>
      </c>
      <c r="Q3769" t="b">
        <v>0</v>
      </c>
      <c r="S3769" t="str">
        <f>"9780310529934"</f>
        <v>9780310529934</v>
      </c>
      <c r="T3769" t="str">
        <f>"9780310323396"</f>
        <v>9780310323396</v>
      </c>
      <c r="U3769" t="b">
        <v>0</v>
      </c>
      <c r="W3769" t="b">
        <v>0</v>
      </c>
    </row>
    <row r="3770" spans="1:23" x14ac:dyDescent="0.3">
      <c r="A3770">
        <v>1524892</v>
      </c>
      <c r="B3770">
        <v>46.16</v>
      </c>
      <c r="C3770" t="s">
        <v>9200</v>
      </c>
      <c r="D3770" t="s">
        <v>9201</v>
      </c>
      <c r="E3770" t="s">
        <v>23</v>
      </c>
      <c r="F3770" t="s">
        <v>44</v>
      </c>
      <c r="G3770">
        <v>2013</v>
      </c>
      <c r="H3770" t="s">
        <v>56</v>
      </c>
      <c r="I3770" t="s">
        <v>6409</v>
      </c>
      <c r="J3770" t="s">
        <v>9202</v>
      </c>
      <c r="K3770" t="s">
        <v>25</v>
      </c>
      <c r="L3770" t="s">
        <v>30</v>
      </c>
      <c r="M3770" t="b">
        <v>1</v>
      </c>
      <c r="N3770" t="s">
        <v>9203</v>
      </c>
      <c r="O3770" t="str">
        <f>"241/.4"</f>
        <v>241/.4</v>
      </c>
      <c r="Q3770" t="b">
        <v>0</v>
      </c>
      <c r="S3770" t="str">
        <f>"9780310492788"</f>
        <v>9780310492788</v>
      </c>
      <c r="T3770" t="str">
        <f>"9780310492818"</f>
        <v>9780310492818</v>
      </c>
      <c r="U3770" t="b">
        <v>0</v>
      </c>
      <c r="W3770" t="b">
        <v>0</v>
      </c>
    </row>
    <row r="3771" spans="1:23" x14ac:dyDescent="0.3">
      <c r="A3771">
        <v>1524891</v>
      </c>
      <c r="B3771">
        <v>58.62</v>
      </c>
      <c r="C3771" t="s">
        <v>9204</v>
      </c>
      <c r="D3771" t="s">
        <v>9205</v>
      </c>
      <c r="E3771" t="s">
        <v>23</v>
      </c>
      <c r="F3771" t="s">
        <v>44</v>
      </c>
      <c r="G3771">
        <v>2014</v>
      </c>
      <c r="H3771" t="s">
        <v>5369</v>
      </c>
      <c r="I3771" t="s">
        <v>9206</v>
      </c>
      <c r="J3771" t="s">
        <v>9207</v>
      </c>
      <c r="K3771" t="s">
        <v>25</v>
      </c>
      <c r="L3771" t="s">
        <v>30</v>
      </c>
      <c r="M3771" t="b">
        <v>1</v>
      </c>
      <c r="N3771" t="s">
        <v>7634</v>
      </c>
      <c r="O3771" t="str">
        <f>"248.4"</f>
        <v>248.4</v>
      </c>
      <c r="Q3771" t="b">
        <v>0</v>
      </c>
      <c r="S3771" t="str">
        <f>"9780310515838"</f>
        <v>9780310515838</v>
      </c>
      <c r="T3771" t="str">
        <f>"9780310515845"</f>
        <v>9780310515845</v>
      </c>
      <c r="U3771" t="b">
        <v>0</v>
      </c>
      <c r="W3771" t="b">
        <v>0</v>
      </c>
    </row>
    <row r="3772" spans="1:23" x14ac:dyDescent="0.3">
      <c r="A3772">
        <v>1524890</v>
      </c>
      <c r="B3772">
        <v>68.97</v>
      </c>
      <c r="C3772" t="s">
        <v>9208</v>
      </c>
      <c r="D3772" t="s">
        <v>9209</v>
      </c>
      <c r="E3772" t="s">
        <v>49</v>
      </c>
      <c r="F3772" t="s">
        <v>106</v>
      </c>
      <c r="G3772">
        <v>2015</v>
      </c>
      <c r="H3772" t="s">
        <v>98</v>
      </c>
      <c r="I3772" t="s">
        <v>6238</v>
      </c>
      <c r="J3772" t="s">
        <v>6795</v>
      </c>
      <c r="K3772" t="s">
        <v>25</v>
      </c>
      <c r="L3772" t="s">
        <v>30</v>
      </c>
      <c r="M3772" t="b">
        <v>1</v>
      </c>
      <c r="N3772" t="s">
        <v>6597</v>
      </c>
      <c r="O3772" t="str">
        <f>"227/.106"</f>
        <v>227/.106</v>
      </c>
      <c r="Q3772" t="b">
        <v>0</v>
      </c>
      <c r="S3772" t="str">
        <f>"9780310517955"</f>
        <v>9780310517955</v>
      </c>
      <c r="T3772" t="str">
        <f>"9780310517962"</f>
        <v>9780310517962</v>
      </c>
      <c r="U3772" t="b">
        <v>0</v>
      </c>
      <c r="W3772" t="b">
        <v>0</v>
      </c>
    </row>
    <row r="3773" spans="1:23" x14ac:dyDescent="0.3">
      <c r="A3773">
        <v>1524889</v>
      </c>
      <c r="B3773">
        <v>56.82</v>
      </c>
      <c r="C3773" t="s">
        <v>6288</v>
      </c>
      <c r="D3773" t="s">
        <v>6289</v>
      </c>
      <c r="E3773" t="s">
        <v>49</v>
      </c>
      <c r="F3773" t="s">
        <v>106</v>
      </c>
      <c r="G3773">
        <v>2013</v>
      </c>
      <c r="H3773" t="s">
        <v>734</v>
      </c>
      <c r="I3773" t="s">
        <v>9210</v>
      </c>
      <c r="J3773" t="s">
        <v>6292</v>
      </c>
      <c r="K3773" t="s">
        <v>25</v>
      </c>
      <c r="L3773" t="s">
        <v>26</v>
      </c>
      <c r="M3773" t="b">
        <v>1</v>
      </c>
      <c r="N3773" t="s">
        <v>6293</v>
      </c>
      <c r="O3773" t="str">
        <f>"200.72"</f>
        <v>200.72</v>
      </c>
      <c r="Q3773" t="b">
        <v>0</v>
      </c>
      <c r="S3773" t="str">
        <f>"9780310514022"</f>
        <v>9780310514022</v>
      </c>
      <c r="T3773" t="str">
        <f>"9780310514039"</f>
        <v>9780310514039</v>
      </c>
      <c r="U3773" t="b">
        <v>0</v>
      </c>
      <c r="V3773" t="s">
        <v>6501</v>
      </c>
      <c r="W3773" t="b">
        <v>0</v>
      </c>
    </row>
    <row r="3774" spans="1:23" x14ac:dyDescent="0.3">
      <c r="A3774">
        <v>1524888</v>
      </c>
      <c r="B3774">
        <v>49.71</v>
      </c>
      <c r="C3774" t="s">
        <v>9211</v>
      </c>
      <c r="D3774" t="s">
        <v>9212</v>
      </c>
      <c r="E3774" t="s">
        <v>49</v>
      </c>
      <c r="F3774" t="s">
        <v>44</v>
      </c>
      <c r="G3774">
        <v>2009</v>
      </c>
      <c r="H3774" t="s">
        <v>50</v>
      </c>
      <c r="I3774" t="s">
        <v>7151</v>
      </c>
      <c r="J3774" t="s">
        <v>895</v>
      </c>
      <c r="K3774" t="s">
        <v>25</v>
      </c>
      <c r="L3774" t="s">
        <v>30</v>
      </c>
      <c r="M3774" t="b">
        <v>1</v>
      </c>
      <c r="N3774" t="s">
        <v>5770</v>
      </c>
      <c r="O3774" t="str">
        <f>"259.23"</f>
        <v>259.23</v>
      </c>
      <c r="Q3774" t="b">
        <v>0</v>
      </c>
      <c r="S3774" t="str">
        <f>"9780310212539"</f>
        <v>9780310212539</v>
      </c>
      <c r="T3774" t="str">
        <f>"9780310863632"</f>
        <v>9780310863632</v>
      </c>
      <c r="U3774" t="b">
        <v>0</v>
      </c>
      <c r="W3774" t="b">
        <v>0</v>
      </c>
    </row>
    <row r="3775" spans="1:23" x14ac:dyDescent="0.3">
      <c r="A3775">
        <v>1524887</v>
      </c>
      <c r="B3775">
        <v>182.82</v>
      </c>
      <c r="C3775" t="s">
        <v>9213</v>
      </c>
      <c r="E3775" t="s">
        <v>49</v>
      </c>
      <c r="F3775" t="s">
        <v>106</v>
      </c>
      <c r="G3775">
        <v>2002</v>
      </c>
      <c r="H3775" t="s">
        <v>6799</v>
      </c>
      <c r="I3775" t="s">
        <v>9214</v>
      </c>
      <c r="K3775" t="s">
        <v>25</v>
      </c>
      <c r="L3775" t="s">
        <v>26</v>
      </c>
      <c r="M3775" t="b">
        <v>1</v>
      </c>
      <c r="N3775" t="s">
        <v>9215</v>
      </c>
      <c r="O3775" t="str">
        <f>"223.2077"</f>
        <v>223.2077</v>
      </c>
      <c r="P3775" t="s">
        <v>6245</v>
      </c>
      <c r="Q3775" t="b">
        <v>0</v>
      </c>
      <c r="S3775" t="str">
        <f>"9780310206354"</f>
        <v>9780310206354</v>
      </c>
      <c r="T3775" t="str">
        <f>"9780310520733"</f>
        <v>9780310520733</v>
      </c>
      <c r="U3775" t="b">
        <v>0</v>
      </c>
      <c r="W3775" t="b">
        <v>0</v>
      </c>
    </row>
    <row r="3776" spans="1:23" x14ac:dyDescent="0.3">
      <c r="A3776">
        <v>1524886</v>
      </c>
      <c r="B3776">
        <v>67.48</v>
      </c>
      <c r="C3776" t="s">
        <v>9216</v>
      </c>
      <c r="E3776" t="s">
        <v>49</v>
      </c>
      <c r="F3776" t="s">
        <v>106</v>
      </c>
      <c r="G3776">
        <v>2009</v>
      </c>
      <c r="H3776" t="s">
        <v>3417</v>
      </c>
      <c r="I3776" t="s">
        <v>8484</v>
      </c>
      <c r="K3776" t="s">
        <v>25</v>
      </c>
      <c r="L3776" t="s">
        <v>30</v>
      </c>
      <c r="M3776" t="b">
        <v>1</v>
      </c>
      <c r="N3776" t="s">
        <v>9217</v>
      </c>
      <c r="O3776" t="str">
        <f>"220.7"</f>
        <v>220.7</v>
      </c>
      <c r="P3776" t="s">
        <v>6271</v>
      </c>
      <c r="Q3776" t="b">
        <v>0</v>
      </c>
      <c r="T3776" t="str">
        <f>"9780310531852"</f>
        <v>9780310531852</v>
      </c>
      <c r="U3776" t="b">
        <v>0</v>
      </c>
      <c r="V3776" t="s">
        <v>940</v>
      </c>
      <c r="W3776" t="b">
        <v>0</v>
      </c>
    </row>
    <row r="3777" spans="1:23" x14ac:dyDescent="0.3">
      <c r="A3777">
        <v>1524885</v>
      </c>
      <c r="B3777">
        <v>148.32</v>
      </c>
      <c r="C3777" t="s">
        <v>7261</v>
      </c>
      <c r="E3777" t="s">
        <v>49</v>
      </c>
      <c r="F3777" t="s">
        <v>106</v>
      </c>
      <c r="G3777">
        <v>2003</v>
      </c>
      <c r="H3777" t="s">
        <v>927</v>
      </c>
      <c r="I3777" t="s">
        <v>7030</v>
      </c>
      <c r="K3777" t="s">
        <v>25</v>
      </c>
      <c r="L3777" t="s">
        <v>26</v>
      </c>
      <c r="M3777" t="b">
        <v>1</v>
      </c>
      <c r="N3777" t="s">
        <v>9218</v>
      </c>
      <c r="O3777" t="str">
        <f>"223/.7077"</f>
        <v>223/.7077</v>
      </c>
      <c r="P3777" t="s">
        <v>6300</v>
      </c>
      <c r="Q3777" t="b">
        <v>0</v>
      </c>
      <c r="S3777" t="str">
        <f>"9780310218524"</f>
        <v>9780310218524</v>
      </c>
      <c r="T3777" t="str">
        <f>"9780310520689"</f>
        <v>9780310520689</v>
      </c>
      <c r="U3777" t="b">
        <v>0</v>
      </c>
      <c r="V3777" t="s">
        <v>2341</v>
      </c>
      <c r="W3777" t="b">
        <v>0</v>
      </c>
    </row>
    <row r="3778" spans="1:23" x14ac:dyDescent="0.3">
      <c r="A3778">
        <v>1524884</v>
      </c>
      <c r="B3778">
        <v>58.62</v>
      </c>
      <c r="C3778" t="s">
        <v>9219</v>
      </c>
      <c r="D3778" t="s">
        <v>9220</v>
      </c>
      <c r="E3778" t="s">
        <v>49</v>
      </c>
      <c r="F3778" t="s">
        <v>44</v>
      </c>
      <c r="G3778">
        <v>2015</v>
      </c>
      <c r="H3778" t="s">
        <v>3423</v>
      </c>
      <c r="K3778" t="s">
        <v>25</v>
      </c>
      <c r="L3778" t="s">
        <v>26</v>
      </c>
      <c r="M3778" t="b">
        <v>1</v>
      </c>
      <c r="N3778" t="s">
        <v>929</v>
      </c>
      <c r="Q3778" t="b">
        <v>0</v>
      </c>
      <c r="S3778" t="str">
        <f>"9780310518471"</f>
        <v>9780310518471</v>
      </c>
      <c r="T3778" t="str">
        <f>"9780310518488"</f>
        <v>9780310518488</v>
      </c>
      <c r="U3778" t="b">
        <v>0</v>
      </c>
      <c r="W3778" t="b">
        <v>0</v>
      </c>
    </row>
    <row r="3779" spans="1:23" x14ac:dyDescent="0.3">
      <c r="A3779">
        <v>1524883</v>
      </c>
      <c r="B3779">
        <v>58.62</v>
      </c>
      <c r="C3779" t="s">
        <v>9221</v>
      </c>
      <c r="D3779" t="s">
        <v>9222</v>
      </c>
      <c r="E3779" t="s">
        <v>23</v>
      </c>
      <c r="F3779" t="s">
        <v>44</v>
      </c>
      <c r="G3779">
        <v>2014</v>
      </c>
      <c r="H3779" t="s">
        <v>71</v>
      </c>
      <c r="I3779" t="s">
        <v>9223</v>
      </c>
      <c r="J3779" t="s">
        <v>9224</v>
      </c>
      <c r="K3779" t="s">
        <v>25</v>
      </c>
      <c r="L3779" t="s">
        <v>30</v>
      </c>
      <c r="M3779" t="b">
        <v>1</v>
      </c>
      <c r="N3779" t="s">
        <v>9225</v>
      </c>
      <c r="O3779" t="str">
        <f>"234"</f>
        <v>234</v>
      </c>
      <c r="Q3779" t="b">
        <v>0</v>
      </c>
      <c r="S3779" t="str">
        <f>"9780310513896"</f>
        <v>9780310513896</v>
      </c>
      <c r="T3779" t="str">
        <f>"9780310513902"</f>
        <v>9780310513902</v>
      </c>
      <c r="U3779" t="b">
        <v>0</v>
      </c>
      <c r="W3779" t="b">
        <v>0</v>
      </c>
    </row>
    <row r="3780" spans="1:23" x14ac:dyDescent="0.3">
      <c r="A3780">
        <v>1524882</v>
      </c>
      <c r="B3780">
        <v>51.72</v>
      </c>
      <c r="C3780" t="s">
        <v>9226</v>
      </c>
      <c r="D3780" t="s">
        <v>9227</v>
      </c>
      <c r="E3780" t="s">
        <v>49</v>
      </c>
      <c r="F3780" t="s">
        <v>44</v>
      </c>
      <c r="G3780">
        <v>2009</v>
      </c>
      <c r="H3780" t="s">
        <v>1181</v>
      </c>
      <c r="I3780" t="s">
        <v>6736</v>
      </c>
      <c r="J3780" t="s">
        <v>895</v>
      </c>
      <c r="K3780" t="s">
        <v>25</v>
      </c>
      <c r="L3780" t="s">
        <v>30</v>
      </c>
      <c r="M3780" t="b">
        <v>1</v>
      </c>
      <c r="N3780" t="s">
        <v>9228</v>
      </c>
      <c r="O3780" t="str">
        <f>"251"</f>
        <v>251</v>
      </c>
      <c r="Q3780" t="b">
        <v>0</v>
      </c>
      <c r="S3780" t="str">
        <f>"9780310386216"</f>
        <v>9780310386216</v>
      </c>
      <c r="T3780" t="str">
        <f>"9780310832843"</f>
        <v>9780310832843</v>
      </c>
      <c r="U3780" t="b">
        <v>0</v>
      </c>
      <c r="W3780" t="b">
        <v>0</v>
      </c>
    </row>
    <row r="3781" spans="1:23" x14ac:dyDescent="0.3">
      <c r="A3781">
        <v>1524881</v>
      </c>
      <c r="B3781">
        <v>113.82</v>
      </c>
      <c r="C3781" t="s">
        <v>9229</v>
      </c>
      <c r="D3781" t="s">
        <v>6983</v>
      </c>
      <c r="E3781" t="s">
        <v>49</v>
      </c>
      <c r="F3781" t="s">
        <v>106</v>
      </c>
      <c r="G3781">
        <v>2009</v>
      </c>
      <c r="H3781" t="s">
        <v>1181</v>
      </c>
      <c r="I3781" t="s">
        <v>7901</v>
      </c>
      <c r="J3781" t="s">
        <v>6985</v>
      </c>
      <c r="K3781" t="s">
        <v>25</v>
      </c>
      <c r="L3781" t="s">
        <v>30</v>
      </c>
      <c r="M3781" t="b">
        <v>1</v>
      </c>
      <c r="N3781" t="s">
        <v>9230</v>
      </c>
      <c r="O3781" t="str">
        <f>"251"</f>
        <v>251</v>
      </c>
      <c r="Q3781" t="b">
        <v>0</v>
      </c>
      <c r="S3781" t="str">
        <f>"9780310248873"</f>
        <v>9780310248873</v>
      </c>
      <c r="T3781" t="str">
        <f>"9780310863519"</f>
        <v>9780310863519</v>
      </c>
      <c r="U3781" t="b">
        <v>0</v>
      </c>
      <c r="W3781" t="b">
        <v>0</v>
      </c>
    </row>
    <row r="3782" spans="1:23" x14ac:dyDescent="0.3">
      <c r="A3782">
        <v>1524880</v>
      </c>
      <c r="B3782">
        <v>63.93</v>
      </c>
      <c r="C3782" t="s">
        <v>9231</v>
      </c>
      <c r="D3782" t="s">
        <v>9232</v>
      </c>
      <c r="E3782" t="s">
        <v>23</v>
      </c>
      <c r="F3782" t="s">
        <v>106</v>
      </c>
      <c r="G3782">
        <v>1987</v>
      </c>
      <c r="H3782" t="s">
        <v>71</v>
      </c>
      <c r="I3782" t="s">
        <v>9233</v>
      </c>
      <c r="J3782" t="s">
        <v>9234</v>
      </c>
      <c r="K3782" t="s">
        <v>25</v>
      </c>
      <c r="L3782" t="s">
        <v>30</v>
      </c>
      <c r="M3782" t="b">
        <v>1</v>
      </c>
      <c r="N3782" t="s">
        <v>9235</v>
      </c>
      <c r="O3782" t="str">
        <f>"241/.3"</f>
        <v>241/.3</v>
      </c>
      <c r="Q3782" t="b">
        <v>0</v>
      </c>
      <c r="S3782" t="str">
        <f>"9780310397502"</f>
        <v>9780310397502</v>
      </c>
      <c r="T3782" t="str">
        <f>"9780310493938"</f>
        <v>9780310493938</v>
      </c>
      <c r="U3782" t="b">
        <v>0</v>
      </c>
      <c r="W3782" t="b">
        <v>0</v>
      </c>
    </row>
    <row r="3783" spans="1:23" x14ac:dyDescent="0.3">
      <c r="A3783">
        <v>1524879</v>
      </c>
      <c r="B3783">
        <v>58.62</v>
      </c>
      <c r="C3783" t="s">
        <v>9236</v>
      </c>
      <c r="D3783" t="s">
        <v>9237</v>
      </c>
      <c r="E3783" t="s">
        <v>49</v>
      </c>
      <c r="F3783" t="s">
        <v>44</v>
      </c>
      <c r="G3783">
        <v>2009</v>
      </c>
      <c r="H3783" t="s">
        <v>50</v>
      </c>
      <c r="I3783" t="s">
        <v>9238</v>
      </c>
      <c r="J3783" t="s">
        <v>9239</v>
      </c>
      <c r="K3783" t="s">
        <v>25</v>
      </c>
      <c r="L3783" t="s">
        <v>26</v>
      </c>
      <c r="M3783" t="b">
        <v>1</v>
      </c>
      <c r="N3783" t="s">
        <v>9240</v>
      </c>
      <c r="O3783" t="str">
        <f>"259.22"</f>
        <v>259.22</v>
      </c>
      <c r="Q3783" t="b">
        <v>0</v>
      </c>
      <c r="S3783" t="str">
        <f>"9780310257547"</f>
        <v>9780310257547</v>
      </c>
      <c r="T3783" t="str">
        <f>"9780310863465"</f>
        <v>9780310863465</v>
      </c>
      <c r="U3783" t="b">
        <v>0</v>
      </c>
      <c r="W3783" t="b">
        <v>0</v>
      </c>
    </row>
    <row r="3784" spans="1:23" x14ac:dyDescent="0.3">
      <c r="A3784">
        <v>1524878</v>
      </c>
      <c r="B3784">
        <v>155.22</v>
      </c>
      <c r="C3784" t="s">
        <v>9241</v>
      </c>
      <c r="D3784" t="s">
        <v>9242</v>
      </c>
      <c r="E3784" t="s">
        <v>49</v>
      </c>
      <c r="F3784" t="s">
        <v>44</v>
      </c>
      <c r="G3784">
        <v>2010</v>
      </c>
      <c r="H3784" t="s">
        <v>759</v>
      </c>
      <c r="I3784" t="s">
        <v>8921</v>
      </c>
      <c r="J3784" t="s">
        <v>9243</v>
      </c>
      <c r="K3784" t="s">
        <v>25</v>
      </c>
      <c r="L3784" t="s">
        <v>30</v>
      </c>
      <c r="M3784" t="b">
        <v>1</v>
      </c>
      <c r="N3784" t="s">
        <v>946</v>
      </c>
      <c r="O3784" t="str">
        <f>"320.01"</f>
        <v>320.01</v>
      </c>
      <c r="Q3784" t="b">
        <v>0</v>
      </c>
      <c r="S3784" t="str">
        <f>"9780310330295"</f>
        <v>9780310330295</v>
      </c>
      <c r="T3784" t="str">
        <f>"9780310413585"</f>
        <v>9780310413585</v>
      </c>
      <c r="U3784" t="b">
        <v>0</v>
      </c>
      <c r="W3784" t="b">
        <v>0</v>
      </c>
    </row>
    <row r="3785" spans="1:23" x14ac:dyDescent="0.3">
      <c r="A3785">
        <v>1524877</v>
      </c>
      <c r="B3785">
        <v>103.47</v>
      </c>
      <c r="C3785" t="s">
        <v>5778</v>
      </c>
      <c r="E3785" t="s">
        <v>49</v>
      </c>
      <c r="F3785" t="s">
        <v>106</v>
      </c>
      <c r="G3785">
        <v>2013</v>
      </c>
      <c r="H3785" t="s">
        <v>6799</v>
      </c>
      <c r="I3785" t="s">
        <v>9244</v>
      </c>
      <c r="K3785" t="s">
        <v>25</v>
      </c>
      <c r="L3785" t="s">
        <v>30</v>
      </c>
      <c r="M3785" t="b">
        <v>1</v>
      </c>
      <c r="N3785" t="s">
        <v>9245</v>
      </c>
      <c r="O3785" t="str">
        <f>"227/.6077"</f>
        <v>227/.6077</v>
      </c>
      <c r="P3785" t="s">
        <v>930</v>
      </c>
      <c r="Q3785" t="b">
        <v>0</v>
      </c>
      <c r="S3785" t="str">
        <f>"9780310327240"</f>
        <v>9780310327240</v>
      </c>
      <c r="T3785" t="str">
        <f>"9780310599135"</f>
        <v>9780310599135</v>
      </c>
      <c r="U3785" t="b">
        <v>0</v>
      </c>
      <c r="W3785" t="b">
        <v>0</v>
      </c>
    </row>
    <row r="3786" spans="1:23" x14ac:dyDescent="0.3">
      <c r="A3786">
        <v>1524876</v>
      </c>
      <c r="B3786">
        <v>93.12</v>
      </c>
      <c r="C3786" t="s">
        <v>5778</v>
      </c>
      <c r="E3786" t="s">
        <v>49</v>
      </c>
      <c r="F3786" t="s">
        <v>106</v>
      </c>
      <c r="G3786">
        <v>1995</v>
      </c>
      <c r="H3786" t="s">
        <v>6799</v>
      </c>
      <c r="I3786" t="s">
        <v>9246</v>
      </c>
      <c r="K3786" t="s">
        <v>25</v>
      </c>
      <c r="L3786" t="s">
        <v>30</v>
      </c>
      <c r="M3786" t="b">
        <v>1</v>
      </c>
      <c r="N3786" t="s">
        <v>6803</v>
      </c>
      <c r="O3786" t="str">
        <f>"227/.606"</f>
        <v>227/.606</v>
      </c>
      <c r="P3786" t="s">
        <v>6300</v>
      </c>
      <c r="Q3786" t="b">
        <v>0</v>
      </c>
      <c r="S3786" t="str">
        <f>"9780310493006"</f>
        <v>9780310493006</v>
      </c>
      <c r="T3786" t="str">
        <f>"9780310572206"</f>
        <v>9780310572206</v>
      </c>
      <c r="U3786" t="b">
        <v>0</v>
      </c>
      <c r="V3786" t="s">
        <v>2872</v>
      </c>
      <c r="W3786" t="b">
        <v>0</v>
      </c>
    </row>
    <row r="3787" spans="1:23" x14ac:dyDescent="0.3">
      <c r="A3787">
        <v>1524875</v>
      </c>
      <c r="B3787">
        <v>65.52</v>
      </c>
      <c r="C3787" t="s">
        <v>9247</v>
      </c>
      <c r="D3787" t="s">
        <v>9248</v>
      </c>
      <c r="E3787" t="s">
        <v>49</v>
      </c>
      <c r="F3787" t="s">
        <v>44</v>
      </c>
      <c r="G3787">
        <v>2015</v>
      </c>
      <c r="H3787" t="s">
        <v>1126</v>
      </c>
      <c r="I3787" t="s">
        <v>9249</v>
      </c>
      <c r="J3787" t="s">
        <v>9250</v>
      </c>
      <c r="K3787" t="s">
        <v>25</v>
      </c>
      <c r="L3787" t="s">
        <v>26</v>
      </c>
      <c r="M3787" t="b">
        <v>1</v>
      </c>
      <c r="N3787" t="s">
        <v>9251</v>
      </c>
      <c r="O3787" t="str">
        <f>"261.8/35766"</f>
        <v>261.8/35766</v>
      </c>
      <c r="Q3787" t="b">
        <v>0</v>
      </c>
      <c r="S3787" t="str">
        <f>"9780310519652"</f>
        <v>9780310519652</v>
      </c>
      <c r="T3787" t="str">
        <f>"9780310519669"</f>
        <v>9780310519669</v>
      </c>
      <c r="U3787" t="b">
        <v>0</v>
      </c>
      <c r="W3787" t="b">
        <v>0</v>
      </c>
    </row>
    <row r="3788" spans="1:23" x14ac:dyDescent="0.3">
      <c r="A3788">
        <v>1524874</v>
      </c>
      <c r="B3788">
        <v>120.72</v>
      </c>
      <c r="C3788" t="s">
        <v>9252</v>
      </c>
      <c r="D3788" t="s">
        <v>6418</v>
      </c>
      <c r="E3788" t="s">
        <v>49</v>
      </c>
      <c r="F3788" t="s">
        <v>106</v>
      </c>
      <c r="G3788">
        <v>2012</v>
      </c>
      <c r="H3788" t="s">
        <v>98</v>
      </c>
      <c r="I3788" t="s">
        <v>9253</v>
      </c>
      <c r="J3788" t="s">
        <v>9254</v>
      </c>
      <c r="K3788" t="s">
        <v>25</v>
      </c>
      <c r="L3788" t="s">
        <v>30</v>
      </c>
      <c r="M3788" t="b">
        <v>1</v>
      </c>
      <c r="N3788" t="s">
        <v>6419</v>
      </c>
      <c r="O3788" t="str">
        <f>"227/.06"</f>
        <v>227/.06</v>
      </c>
      <c r="Q3788" t="b">
        <v>0</v>
      </c>
      <c r="S3788" t="str">
        <f>"9780310329053"</f>
        <v>9780310329053</v>
      </c>
      <c r="T3788" t="str">
        <f>"9780310523185"</f>
        <v>9780310523185</v>
      </c>
      <c r="U3788" t="b">
        <v>0</v>
      </c>
      <c r="W3788" t="b">
        <v>0</v>
      </c>
    </row>
    <row r="3789" spans="1:23" x14ac:dyDescent="0.3">
      <c r="A3789">
        <v>1524873</v>
      </c>
      <c r="B3789">
        <v>96.57</v>
      </c>
      <c r="C3789" t="s">
        <v>9255</v>
      </c>
      <c r="D3789" t="s">
        <v>9256</v>
      </c>
      <c r="E3789" t="s">
        <v>49</v>
      </c>
      <c r="F3789" t="s">
        <v>106</v>
      </c>
      <c r="G3789">
        <v>2017</v>
      </c>
      <c r="H3789" t="s">
        <v>98</v>
      </c>
      <c r="I3789" t="s">
        <v>9257</v>
      </c>
      <c r="J3789" t="s">
        <v>9258</v>
      </c>
      <c r="K3789" t="s">
        <v>25</v>
      </c>
      <c r="L3789" t="s">
        <v>30</v>
      </c>
      <c r="M3789" t="b">
        <v>1</v>
      </c>
      <c r="N3789" t="s">
        <v>9259</v>
      </c>
      <c r="O3789" t="str">
        <f>"262/.00681"</f>
        <v>262/.00681</v>
      </c>
      <c r="Q3789" t="b">
        <v>0</v>
      </c>
      <c r="S3789" t="str">
        <f>"9780310518334"</f>
        <v>9780310518334</v>
      </c>
      <c r="T3789" t="str">
        <f>"9780310525134"</f>
        <v>9780310525134</v>
      </c>
      <c r="U3789" t="b">
        <v>0</v>
      </c>
      <c r="W3789" t="b">
        <v>0</v>
      </c>
    </row>
    <row r="3790" spans="1:23" x14ac:dyDescent="0.3">
      <c r="A3790">
        <v>1524872</v>
      </c>
      <c r="B3790">
        <v>113.68</v>
      </c>
      <c r="C3790" t="s">
        <v>9260</v>
      </c>
      <c r="D3790" t="s">
        <v>9261</v>
      </c>
      <c r="E3790" t="s">
        <v>49</v>
      </c>
      <c r="F3790" t="s">
        <v>106</v>
      </c>
      <c r="G3790">
        <v>2011</v>
      </c>
      <c r="H3790" t="s">
        <v>6334</v>
      </c>
      <c r="I3790" t="s">
        <v>6587</v>
      </c>
      <c r="J3790" t="s">
        <v>9262</v>
      </c>
      <c r="K3790" t="s">
        <v>25</v>
      </c>
      <c r="L3790" t="s">
        <v>30</v>
      </c>
      <c r="M3790" t="b">
        <v>1</v>
      </c>
      <c r="N3790" t="s">
        <v>7680</v>
      </c>
      <c r="O3790" t="str">
        <f>"270.092/2"</f>
        <v>270.092/2</v>
      </c>
      <c r="Q3790" t="b">
        <v>0</v>
      </c>
      <c r="S3790" t="str">
        <f>"9780310206385"</f>
        <v>9780310206385</v>
      </c>
      <c r="T3790" t="str">
        <f>"9780310296959"</f>
        <v>9780310296959</v>
      </c>
      <c r="U3790" t="b">
        <v>0</v>
      </c>
      <c r="W3790" t="b">
        <v>0</v>
      </c>
    </row>
    <row r="3791" spans="1:23" x14ac:dyDescent="0.3">
      <c r="A3791">
        <v>1524871</v>
      </c>
      <c r="B3791">
        <v>137.97</v>
      </c>
      <c r="C3791" t="s">
        <v>9263</v>
      </c>
      <c r="E3791" t="s">
        <v>49</v>
      </c>
      <c r="F3791" t="s">
        <v>106</v>
      </c>
      <c r="G3791">
        <v>2011</v>
      </c>
      <c r="H3791" t="s">
        <v>179</v>
      </c>
      <c r="I3791" t="s">
        <v>6635</v>
      </c>
      <c r="J3791" t="s">
        <v>895</v>
      </c>
      <c r="K3791" t="s">
        <v>25</v>
      </c>
      <c r="L3791" t="s">
        <v>26</v>
      </c>
      <c r="M3791" t="b">
        <v>1</v>
      </c>
      <c r="N3791" t="s">
        <v>9264</v>
      </c>
      <c r="O3791" t="str">
        <f>"220.1/2"</f>
        <v>220.1/2</v>
      </c>
      <c r="Q3791" t="b">
        <v>0</v>
      </c>
      <c r="S3791" t="str">
        <f>"9780310234159"</f>
        <v>9780310234159</v>
      </c>
      <c r="T3791" t="str">
        <f>"9780310873495"</f>
        <v>9780310873495</v>
      </c>
      <c r="U3791" t="b">
        <v>0</v>
      </c>
      <c r="W3791" t="b">
        <v>0</v>
      </c>
    </row>
    <row r="3792" spans="1:23" x14ac:dyDescent="0.3">
      <c r="A3792">
        <v>1524869</v>
      </c>
      <c r="B3792">
        <v>58.62</v>
      </c>
      <c r="C3792" t="s">
        <v>9265</v>
      </c>
      <c r="D3792" t="s">
        <v>9266</v>
      </c>
      <c r="E3792" t="s">
        <v>49</v>
      </c>
      <c r="F3792" t="s">
        <v>44</v>
      </c>
      <c r="G3792">
        <v>2012</v>
      </c>
      <c r="H3792" t="s">
        <v>756</v>
      </c>
      <c r="I3792" t="s">
        <v>9267</v>
      </c>
      <c r="J3792" t="s">
        <v>9268</v>
      </c>
      <c r="K3792" t="s">
        <v>25</v>
      </c>
      <c r="L3792" t="s">
        <v>30</v>
      </c>
      <c r="M3792" t="b">
        <v>1</v>
      </c>
      <c r="N3792" t="s">
        <v>9269</v>
      </c>
      <c r="O3792" t="str">
        <f>"248/.5"</f>
        <v>248/.5</v>
      </c>
      <c r="Q3792" t="b">
        <v>0</v>
      </c>
      <c r="S3792" t="str">
        <f>"9780310273974"</f>
        <v>9780310273974</v>
      </c>
      <c r="T3792" t="str">
        <f>"9780310493228"</f>
        <v>9780310493228</v>
      </c>
      <c r="U3792" t="b">
        <v>0</v>
      </c>
      <c r="W3792" t="b">
        <v>0</v>
      </c>
    </row>
    <row r="3793" spans="1:23" x14ac:dyDescent="0.3">
      <c r="A3793">
        <v>1524867</v>
      </c>
      <c r="B3793">
        <v>62.07</v>
      </c>
      <c r="C3793" t="s">
        <v>9270</v>
      </c>
      <c r="D3793" t="s">
        <v>9271</v>
      </c>
      <c r="E3793" t="s">
        <v>49</v>
      </c>
      <c r="F3793" t="s">
        <v>44</v>
      </c>
      <c r="G3793">
        <v>2014</v>
      </c>
      <c r="H3793" t="s">
        <v>58</v>
      </c>
      <c r="I3793" t="s">
        <v>2656</v>
      </c>
      <c r="J3793" t="s">
        <v>1231</v>
      </c>
      <c r="K3793" t="s">
        <v>25</v>
      </c>
      <c r="L3793" t="s">
        <v>30</v>
      </c>
      <c r="M3793" t="b">
        <v>1</v>
      </c>
      <c r="N3793" t="s">
        <v>1026</v>
      </c>
      <c r="O3793" t="str">
        <f>"248.4"</f>
        <v>248.4</v>
      </c>
      <c r="Q3793" t="b">
        <v>0</v>
      </c>
      <c r="S3793" t="str">
        <f>"9780310517375"</f>
        <v>9780310517375</v>
      </c>
      <c r="T3793" t="str">
        <f>"9780310517382"</f>
        <v>9780310517382</v>
      </c>
      <c r="U3793" t="b">
        <v>0</v>
      </c>
      <c r="W3793" t="b">
        <v>0</v>
      </c>
    </row>
    <row r="3794" spans="1:23" x14ac:dyDescent="0.3">
      <c r="A3794">
        <v>1524866</v>
      </c>
      <c r="B3794">
        <v>51.72</v>
      </c>
      <c r="C3794" t="s">
        <v>9272</v>
      </c>
      <c r="D3794" t="s">
        <v>9273</v>
      </c>
      <c r="E3794" t="s">
        <v>23</v>
      </c>
      <c r="F3794" t="s">
        <v>44</v>
      </c>
      <c r="G3794">
        <v>2010</v>
      </c>
      <c r="H3794" t="s">
        <v>58</v>
      </c>
      <c r="I3794" t="s">
        <v>2656</v>
      </c>
      <c r="J3794" t="s">
        <v>1231</v>
      </c>
      <c r="K3794" t="s">
        <v>25</v>
      </c>
      <c r="L3794" t="s">
        <v>30</v>
      </c>
      <c r="M3794" t="b">
        <v>1</v>
      </c>
      <c r="N3794" t="s">
        <v>851</v>
      </c>
      <c r="O3794" t="str">
        <f>"248.4"</f>
        <v>248.4</v>
      </c>
      <c r="Q3794" t="b">
        <v>0</v>
      </c>
      <c r="S3794" t="str">
        <f>"9780310277668"</f>
        <v>9780310277668</v>
      </c>
      <c r="T3794" t="str">
        <f>"9780310412120"</f>
        <v>9780310412120</v>
      </c>
      <c r="U3794" t="b">
        <v>0</v>
      </c>
      <c r="W3794" t="b">
        <v>0</v>
      </c>
    </row>
    <row r="3795" spans="1:23" x14ac:dyDescent="0.3">
      <c r="A3795">
        <v>1524865</v>
      </c>
      <c r="B3795">
        <v>34.47</v>
      </c>
      <c r="C3795" t="s">
        <v>9274</v>
      </c>
      <c r="E3795" t="s">
        <v>49</v>
      </c>
      <c r="F3795" t="s">
        <v>44</v>
      </c>
      <c r="G3795">
        <v>1998</v>
      </c>
      <c r="H3795" t="s">
        <v>881</v>
      </c>
      <c r="I3795" t="s">
        <v>9275</v>
      </c>
      <c r="J3795" t="s">
        <v>9276</v>
      </c>
      <c r="K3795" t="s">
        <v>25</v>
      </c>
      <c r="L3795" t="s">
        <v>26</v>
      </c>
      <c r="M3795" t="b">
        <v>1</v>
      </c>
      <c r="N3795" t="s">
        <v>7314</v>
      </c>
      <c r="O3795" t="str">
        <f>"221.9/5"</f>
        <v>221.9/5</v>
      </c>
      <c r="P3795" t="s">
        <v>9277</v>
      </c>
      <c r="Q3795" t="b">
        <v>0</v>
      </c>
      <c r="S3795" t="str">
        <f>"9780310203940"</f>
        <v>9780310203940</v>
      </c>
      <c r="T3795" t="str">
        <f>"9780310877578"</f>
        <v>9780310877578</v>
      </c>
      <c r="U3795" t="b">
        <v>0</v>
      </c>
      <c r="W3795" t="b">
        <v>0</v>
      </c>
    </row>
    <row r="3796" spans="1:23" x14ac:dyDescent="0.3">
      <c r="A3796">
        <v>1524864</v>
      </c>
      <c r="B3796">
        <v>58.62</v>
      </c>
      <c r="C3796" t="s">
        <v>9278</v>
      </c>
      <c r="E3796" t="s">
        <v>49</v>
      </c>
      <c r="F3796" t="s">
        <v>44</v>
      </c>
      <c r="G3796">
        <v>2011</v>
      </c>
      <c r="H3796" t="s">
        <v>5766</v>
      </c>
      <c r="I3796" t="s">
        <v>8484</v>
      </c>
      <c r="K3796" t="s">
        <v>25</v>
      </c>
      <c r="L3796" t="s">
        <v>26</v>
      </c>
      <c r="M3796" t="b">
        <v>1</v>
      </c>
      <c r="N3796" t="s">
        <v>7314</v>
      </c>
      <c r="O3796" t="str">
        <f>"220.7"</f>
        <v>220.7</v>
      </c>
      <c r="Q3796" t="b">
        <v>0</v>
      </c>
      <c r="S3796" t="str">
        <f>"9780310331193"</f>
        <v>9780310331193</v>
      </c>
      <c r="T3796" t="str">
        <f>"9780310416692"</f>
        <v>9780310416692</v>
      </c>
      <c r="U3796" t="b">
        <v>0</v>
      </c>
      <c r="W3796" t="b">
        <v>0</v>
      </c>
    </row>
    <row r="3797" spans="1:23" x14ac:dyDescent="0.3">
      <c r="A3797">
        <v>1524863</v>
      </c>
      <c r="B3797">
        <v>86.22</v>
      </c>
      <c r="C3797" t="s">
        <v>9279</v>
      </c>
      <c r="E3797" t="s">
        <v>49</v>
      </c>
      <c r="F3797" t="s">
        <v>106</v>
      </c>
      <c r="G3797">
        <v>2011</v>
      </c>
      <c r="H3797" t="s">
        <v>893</v>
      </c>
      <c r="I3797" t="s">
        <v>9280</v>
      </c>
      <c r="K3797" t="s">
        <v>25</v>
      </c>
      <c r="L3797" t="s">
        <v>30</v>
      </c>
      <c r="M3797" t="b">
        <v>1</v>
      </c>
      <c r="N3797" t="s">
        <v>6343</v>
      </c>
      <c r="O3797" t="str">
        <f>"225.6"</f>
        <v>225.6</v>
      </c>
      <c r="Q3797" t="b">
        <v>0</v>
      </c>
      <c r="S3797" t="str">
        <f>"9780310455707"</f>
        <v>9780310455707</v>
      </c>
      <c r="T3797" t="str">
        <f>"9780310873426"</f>
        <v>9780310873426</v>
      </c>
      <c r="U3797" t="b">
        <v>0</v>
      </c>
      <c r="W3797" t="b">
        <v>0</v>
      </c>
    </row>
    <row r="3798" spans="1:23" x14ac:dyDescent="0.3">
      <c r="A3798">
        <v>1524862</v>
      </c>
      <c r="B3798">
        <v>93.12</v>
      </c>
      <c r="C3798" t="s">
        <v>9281</v>
      </c>
      <c r="E3798" t="s">
        <v>49</v>
      </c>
      <c r="F3798" t="s">
        <v>44</v>
      </c>
      <c r="G3798">
        <v>2011</v>
      </c>
      <c r="H3798" t="s">
        <v>893</v>
      </c>
      <c r="I3798" t="s">
        <v>9282</v>
      </c>
      <c r="J3798" t="s">
        <v>895</v>
      </c>
      <c r="K3798" t="s">
        <v>25</v>
      </c>
      <c r="L3798" t="s">
        <v>30</v>
      </c>
      <c r="M3798" t="b">
        <v>1</v>
      </c>
      <c r="N3798" t="s">
        <v>9283</v>
      </c>
      <c r="O3798" t="str">
        <f>"220.6"</f>
        <v>220.6</v>
      </c>
      <c r="Q3798" t="b">
        <v>0</v>
      </c>
      <c r="S3798" t="str">
        <f>"9780310241461"</f>
        <v>9780310241461</v>
      </c>
      <c r="T3798" t="str">
        <f>"9780310873372"</f>
        <v>9780310873372</v>
      </c>
      <c r="U3798" t="b">
        <v>0</v>
      </c>
      <c r="W3798" t="b">
        <v>0</v>
      </c>
    </row>
    <row r="3799" spans="1:23" x14ac:dyDescent="0.3">
      <c r="A3799">
        <v>1524861</v>
      </c>
      <c r="B3799">
        <v>86.22</v>
      </c>
      <c r="C3799" t="s">
        <v>9284</v>
      </c>
      <c r="D3799" t="s">
        <v>9285</v>
      </c>
      <c r="E3799" t="s">
        <v>49</v>
      </c>
      <c r="F3799" t="s">
        <v>44</v>
      </c>
      <c r="G3799">
        <v>2001</v>
      </c>
      <c r="H3799" t="s">
        <v>7908</v>
      </c>
      <c r="I3799" t="s">
        <v>9286</v>
      </c>
      <c r="K3799" t="s">
        <v>25</v>
      </c>
      <c r="L3799" t="s">
        <v>26</v>
      </c>
      <c r="M3799" t="b">
        <v>1</v>
      </c>
      <c r="N3799" t="s">
        <v>9287</v>
      </c>
      <c r="O3799" t="str">
        <f>"220.9/2/03;B"</f>
        <v>220.9/2/03;B</v>
      </c>
      <c r="P3799" t="s">
        <v>9288</v>
      </c>
      <c r="Q3799" t="b">
        <v>0</v>
      </c>
      <c r="S3799" t="str">
        <f>"9780310240075"</f>
        <v>9780310240075</v>
      </c>
      <c r="T3799" t="str">
        <f>"9780310529507"</f>
        <v>9780310529507</v>
      </c>
      <c r="U3799" t="b">
        <v>0</v>
      </c>
      <c r="W3799" t="b">
        <v>0</v>
      </c>
    </row>
    <row r="3800" spans="1:23" x14ac:dyDescent="0.3">
      <c r="A3800">
        <v>1524860</v>
      </c>
      <c r="B3800">
        <v>56.82</v>
      </c>
      <c r="C3800" t="s">
        <v>9289</v>
      </c>
      <c r="D3800" t="s">
        <v>9290</v>
      </c>
      <c r="E3800" t="s">
        <v>49</v>
      </c>
      <c r="F3800" t="s">
        <v>44</v>
      </c>
      <c r="G3800">
        <v>2015</v>
      </c>
      <c r="H3800" t="s">
        <v>107</v>
      </c>
      <c r="I3800" t="s">
        <v>9291</v>
      </c>
      <c r="J3800" t="s">
        <v>9292</v>
      </c>
      <c r="K3800" t="s">
        <v>25</v>
      </c>
      <c r="L3800" t="s">
        <v>26</v>
      </c>
      <c r="M3800" t="b">
        <v>1</v>
      </c>
      <c r="N3800" t="s">
        <v>9293</v>
      </c>
      <c r="O3800" t="str">
        <f>"230"</f>
        <v>230</v>
      </c>
      <c r="Q3800" t="b">
        <v>0</v>
      </c>
      <c r="S3800" t="str">
        <f>"9780310520641"</f>
        <v>9780310520641</v>
      </c>
      <c r="T3800" t="str">
        <f>"9780310520658"</f>
        <v>9780310520658</v>
      </c>
      <c r="U3800" t="b">
        <v>0</v>
      </c>
      <c r="W3800" t="b">
        <v>0</v>
      </c>
    </row>
    <row r="3801" spans="1:23" x14ac:dyDescent="0.3">
      <c r="A3801">
        <v>1524859</v>
      </c>
      <c r="B3801">
        <v>51.72</v>
      </c>
      <c r="C3801" t="s">
        <v>9294</v>
      </c>
      <c r="D3801" t="s">
        <v>9295</v>
      </c>
      <c r="E3801" t="s">
        <v>49</v>
      </c>
      <c r="F3801" t="s">
        <v>44</v>
      </c>
      <c r="G3801">
        <v>2010</v>
      </c>
      <c r="H3801" t="s">
        <v>1181</v>
      </c>
      <c r="I3801" t="s">
        <v>9296</v>
      </c>
      <c r="J3801" t="s">
        <v>8826</v>
      </c>
      <c r="K3801" t="s">
        <v>25</v>
      </c>
      <c r="L3801" t="s">
        <v>30</v>
      </c>
      <c r="M3801" t="b">
        <v>1</v>
      </c>
      <c r="N3801" t="s">
        <v>9297</v>
      </c>
      <c r="O3801" t="str">
        <f>"252/.08"</f>
        <v>252/.08</v>
      </c>
      <c r="P3801" t="s">
        <v>9298</v>
      </c>
      <c r="Q3801" t="b">
        <v>0</v>
      </c>
      <c r="S3801" t="str">
        <f>"9780310248323"</f>
        <v>9780310248323</v>
      </c>
      <c r="T3801" t="str">
        <f>"9780310873273"</f>
        <v>9780310873273</v>
      </c>
      <c r="U3801" t="b">
        <v>0</v>
      </c>
      <c r="W3801" t="b">
        <v>0</v>
      </c>
    </row>
    <row r="3802" spans="1:23" x14ac:dyDescent="0.3">
      <c r="A3802">
        <v>1524858</v>
      </c>
      <c r="B3802">
        <v>137.97</v>
      </c>
      <c r="C3802" t="s">
        <v>9299</v>
      </c>
      <c r="E3802" t="s">
        <v>49</v>
      </c>
      <c r="F3802" t="s">
        <v>106</v>
      </c>
      <c r="G3802">
        <v>2009</v>
      </c>
      <c r="H3802" t="s">
        <v>7908</v>
      </c>
      <c r="I3802" t="s">
        <v>8558</v>
      </c>
      <c r="J3802" t="s">
        <v>895</v>
      </c>
      <c r="K3802" t="s">
        <v>25</v>
      </c>
      <c r="L3802" t="s">
        <v>30</v>
      </c>
      <c r="M3802" t="b">
        <v>1</v>
      </c>
      <c r="N3802" t="s">
        <v>1145</v>
      </c>
      <c r="O3802" t="str">
        <f>"220.3"</f>
        <v>220.3</v>
      </c>
      <c r="Q3802" t="b">
        <v>0</v>
      </c>
      <c r="S3802" t="str">
        <f>"9780310248781"</f>
        <v>9780310248781</v>
      </c>
      <c r="T3802" t="str">
        <f>"9780310859703"</f>
        <v>9780310859703</v>
      </c>
      <c r="U3802" t="b">
        <v>0</v>
      </c>
      <c r="W3802" t="b">
        <v>0</v>
      </c>
    </row>
    <row r="3803" spans="1:23" x14ac:dyDescent="0.3">
      <c r="A3803">
        <v>1524857</v>
      </c>
      <c r="B3803">
        <v>137.97</v>
      </c>
      <c r="C3803" t="s">
        <v>9300</v>
      </c>
      <c r="D3803" t="s">
        <v>9301</v>
      </c>
      <c r="E3803" t="s">
        <v>49</v>
      </c>
      <c r="F3803" t="s">
        <v>106</v>
      </c>
      <c r="G3803">
        <v>2014</v>
      </c>
      <c r="H3803" t="s">
        <v>822</v>
      </c>
      <c r="I3803" t="s">
        <v>6382</v>
      </c>
      <c r="J3803" t="s">
        <v>9302</v>
      </c>
      <c r="K3803" t="s">
        <v>25</v>
      </c>
      <c r="L3803" t="s">
        <v>26</v>
      </c>
      <c r="M3803" t="b">
        <v>1</v>
      </c>
      <c r="N3803" t="s">
        <v>9303</v>
      </c>
      <c r="O3803" t="str">
        <f>"266.001"</f>
        <v>266.001</v>
      </c>
      <c r="Q3803" t="b">
        <v>0</v>
      </c>
      <c r="S3803" t="str">
        <f>"9780310252375"</f>
        <v>9780310252375</v>
      </c>
      <c r="T3803" t="str">
        <f>"9780310515227"</f>
        <v>9780310515227</v>
      </c>
      <c r="U3803" t="b">
        <v>0</v>
      </c>
      <c r="V3803" t="s">
        <v>9304</v>
      </c>
      <c r="W3803" t="b">
        <v>0</v>
      </c>
    </row>
    <row r="3804" spans="1:23" x14ac:dyDescent="0.3">
      <c r="A3804">
        <v>1524856</v>
      </c>
      <c r="B3804">
        <v>46.16</v>
      </c>
      <c r="C3804" t="s">
        <v>5759</v>
      </c>
      <c r="E3804" t="s">
        <v>49</v>
      </c>
      <c r="F3804" t="s">
        <v>106</v>
      </c>
      <c r="G3804">
        <v>2002</v>
      </c>
      <c r="H3804" t="s">
        <v>5766</v>
      </c>
      <c r="I3804" t="s">
        <v>8487</v>
      </c>
      <c r="K3804" t="s">
        <v>25</v>
      </c>
      <c r="L3804" t="s">
        <v>30</v>
      </c>
      <c r="M3804" t="b">
        <v>1</v>
      </c>
      <c r="N3804" t="s">
        <v>6325</v>
      </c>
      <c r="O3804" t="str">
        <f>"226.207"</f>
        <v>226.207</v>
      </c>
      <c r="P3804" t="s">
        <v>6606</v>
      </c>
      <c r="Q3804" t="b">
        <v>0</v>
      </c>
      <c r="T3804" t="str">
        <f>"9780310530169"</f>
        <v>9780310530169</v>
      </c>
      <c r="U3804" t="b">
        <v>0</v>
      </c>
      <c r="W3804" t="b">
        <v>0</v>
      </c>
    </row>
    <row r="3805" spans="1:23" x14ac:dyDescent="0.3">
      <c r="A3805">
        <v>1524855</v>
      </c>
      <c r="B3805">
        <v>182.82</v>
      </c>
      <c r="C3805" t="s">
        <v>3419</v>
      </c>
      <c r="E3805" t="s">
        <v>49</v>
      </c>
      <c r="F3805" t="s">
        <v>106</v>
      </c>
      <c r="G3805">
        <v>2004</v>
      </c>
      <c r="H3805" t="s">
        <v>6799</v>
      </c>
      <c r="I3805" t="s">
        <v>8487</v>
      </c>
      <c r="K3805" t="s">
        <v>25</v>
      </c>
      <c r="L3805" t="s">
        <v>30</v>
      </c>
      <c r="M3805" t="b">
        <v>1</v>
      </c>
      <c r="N3805" t="s">
        <v>8542</v>
      </c>
      <c r="O3805" t="str">
        <f>"226.2/077"</f>
        <v>226.2/077</v>
      </c>
      <c r="P3805" t="s">
        <v>6300</v>
      </c>
      <c r="Q3805" t="b">
        <v>0</v>
      </c>
      <c r="S3805" t="str">
        <f>"9780310493105"</f>
        <v>9780310493105</v>
      </c>
      <c r="T3805" t="str">
        <f>"9780310571902"</f>
        <v>9780310571902</v>
      </c>
      <c r="U3805" t="b">
        <v>0</v>
      </c>
      <c r="W3805" t="b">
        <v>0</v>
      </c>
    </row>
    <row r="3806" spans="1:23" x14ac:dyDescent="0.3">
      <c r="A3806">
        <v>1524854</v>
      </c>
      <c r="B3806">
        <v>206.97</v>
      </c>
      <c r="C3806" t="s">
        <v>3419</v>
      </c>
      <c r="E3806" t="s">
        <v>49</v>
      </c>
      <c r="F3806" t="s">
        <v>106</v>
      </c>
      <c r="G3806">
        <v>2010</v>
      </c>
      <c r="H3806" t="s">
        <v>57</v>
      </c>
      <c r="I3806" t="s">
        <v>9305</v>
      </c>
      <c r="K3806" t="s">
        <v>25</v>
      </c>
      <c r="L3806" t="s">
        <v>30</v>
      </c>
      <c r="M3806" t="b">
        <v>1</v>
      </c>
      <c r="N3806" t="s">
        <v>9306</v>
      </c>
      <c r="O3806" t="str">
        <f>"226.2/07"</f>
        <v>226.2/07</v>
      </c>
      <c r="P3806" t="s">
        <v>9307</v>
      </c>
      <c r="Q3806" t="b">
        <v>0</v>
      </c>
      <c r="S3806" t="str">
        <f>"9780310243571"</f>
        <v>9780310243571</v>
      </c>
      <c r="T3806" t="str">
        <f>"9780310323709"</f>
        <v>9780310323709</v>
      </c>
      <c r="U3806" t="b">
        <v>0</v>
      </c>
      <c r="V3806" t="s">
        <v>2872</v>
      </c>
      <c r="W3806" t="b">
        <v>0</v>
      </c>
    </row>
    <row r="3807" spans="1:23" x14ac:dyDescent="0.3">
      <c r="A3807">
        <v>1524853</v>
      </c>
      <c r="B3807">
        <v>155.22</v>
      </c>
      <c r="C3807" t="s">
        <v>3435</v>
      </c>
      <c r="E3807" t="s">
        <v>49</v>
      </c>
      <c r="F3807" t="s">
        <v>106</v>
      </c>
      <c r="G3807">
        <v>2014</v>
      </c>
      <c r="H3807" t="s">
        <v>57</v>
      </c>
      <c r="I3807" t="s">
        <v>9308</v>
      </c>
      <c r="J3807" t="s">
        <v>895</v>
      </c>
      <c r="K3807" t="s">
        <v>25</v>
      </c>
      <c r="L3807" t="s">
        <v>26</v>
      </c>
      <c r="M3807" t="b">
        <v>1</v>
      </c>
      <c r="N3807" t="s">
        <v>6325</v>
      </c>
      <c r="O3807" t="str">
        <f>"226.3/077"</f>
        <v>226.3/077</v>
      </c>
      <c r="Q3807" t="b">
        <v>0</v>
      </c>
      <c r="S3807" t="str">
        <f>"9780310243588"</f>
        <v>9780310243588</v>
      </c>
      <c r="T3807" t="str">
        <f>"9780310521648"</f>
        <v>9780310521648</v>
      </c>
      <c r="U3807" t="b">
        <v>0</v>
      </c>
      <c r="W3807" t="b">
        <v>0</v>
      </c>
    </row>
    <row r="3808" spans="1:23" x14ac:dyDescent="0.3">
      <c r="A3808">
        <v>1524852</v>
      </c>
      <c r="B3808">
        <v>137.97</v>
      </c>
      <c r="C3808" t="s">
        <v>3435</v>
      </c>
      <c r="E3808" t="s">
        <v>49</v>
      </c>
      <c r="F3808" t="s">
        <v>106</v>
      </c>
      <c r="G3808">
        <v>1996</v>
      </c>
      <c r="H3808" t="s">
        <v>57</v>
      </c>
      <c r="I3808" t="s">
        <v>8604</v>
      </c>
      <c r="K3808" t="s">
        <v>25</v>
      </c>
      <c r="L3808" t="s">
        <v>30</v>
      </c>
      <c r="M3808" t="b">
        <v>1</v>
      </c>
      <c r="N3808" t="s">
        <v>8481</v>
      </c>
      <c r="O3808" t="str">
        <f>"226.3/077"</f>
        <v>226.3/077</v>
      </c>
      <c r="P3808" t="s">
        <v>9309</v>
      </c>
      <c r="Q3808" t="b">
        <v>0</v>
      </c>
      <c r="S3808" t="str">
        <f>"9780310493501"</f>
        <v>9780310493501</v>
      </c>
      <c r="T3808" t="str">
        <f>"9780310873150"</f>
        <v>9780310873150</v>
      </c>
      <c r="U3808" t="b">
        <v>0</v>
      </c>
      <c r="W3808" t="b">
        <v>0</v>
      </c>
    </row>
    <row r="3809" spans="1:23" x14ac:dyDescent="0.3">
      <c r="A3809">
        <v>1524850</v>
      </c>
      <c r="B3809">
        <v>113.82</v>
      </c>
      <c r="C3809" t="s">
        <v>9310</v>
      </c>
      <c r="D3809" t="s">
        <v>9311</v>
      </c>
      <c r="E3809" t="s">
        <v>49</v>
      </c>
      <c r="F3809" t="s">
        <v>106</v>
      </c>
      <c r="G3809">
        <v>2009</v>
      </c>
      <c r="H3809" t="s">
        <v>98</v>
      </c>
      <c r="I3809" t="s">
        <v>9312</v>
      </c>
      <c r="J3809" t="s">
        <v>9313</v>
      </c>
      <c r="K3809" t="s">
        <v>25</v>
      </c>
      <c r="L3809" t="s">
        <v>30</v>
      </c>
      <c r="M3809" t="b">
        <v>1</v>
      </c>
      <c r="N3809" t="s">
        <v>9314</v>
      </c>
      <c r="O3809" t="str">
        <f>"261.8/357"</f>
        <v>261.8/357</v>
      </c>
      <c r="Q3809" t="b">
        <v>0</v>
      </c>
      <c r="S3809" t="str">
        <f>"9780310219880"</f>
        <v>9780310219880</v>
      </c>
      <c r="T3809" t="str">
        <f>"9780310525325"</f>
        <v>9780310525325</v>
      </c>
      <c r="U3809" t="b">
        <v>0</v>
      </c>
      <c r="W3809" t="b">
        <v>0</v>
      </c>
    </row>
    <row r="3810" spans="1:23" x14ac:dyDescent="0.3">
      <c r="A3810">
        <v>1524849</v>
      </c>
      <c r="B3810">
        <v>65.52</v>
      </c>
      <c r="C3810" t="s">
        <v>9315</v>
      </c>
      <c r="D3810" t="s">
        <v>9316</v>
      </c>
      <c r="E3810" t="s">
        <v>49</v>
      </c>
      <c r="F3810" t="s">
        <v>44</v>
      </c>
      <c r="G3810">
        <v>2015</v>
      </c>
      <c r="H3810" t="s">
        <v>1126</v>
      </c>
      <c r="I3810" t="s">
        <v>9317</v>
      </c>
      <c r="J3810" t="s">
        <v>9318</v>
      </c>
      <c r="K3810" t="s">
        <v>25</v>
      </c>
      <c r="L3810" t="s">
        <v>26</v>
      </c>
      <c r="M3810" t="b">
        <v>1</v>
      </c>
      <c r="N3810" t="s">
        <v>5754</v>
      </c>
      <c r="O3810" t="str">
        <f>"248.8/42"</f>
        <v>248.8/42</v>
      </c>
      <c r="Q3810" t="b">
        <v>0</v>
      </c>
      <c r="S3810" t="str">
        <f>"9780310325574"</f>
        <v>9780310325574</v>
      </c>
      <c r="T3810" t="str">
        <f>"9780310586258"</f>
        <v>9780310586258</v>
      </c>
      <c r="U3810" t="b">
        <v>0</v>
      </c>
      <c r="W3810" t="b">
        <v>0</v>
      </c>
    </row>
    <row r="3811" spans="1:23" x14ac:dyDescent="0.3">
      <c r="A3811">
        <v>1524847</v>
      </c>
      <c r="B3811">
        <v>44.82</v>
      </c>
      <c r="C3811" t="s">
        <v>9319</v>
      </c>
      <c r="E3811" t="s">
        <v>49</v>
      </c>
      <c r="F3811" t="s">
        <v>44</v>
      </c>
      <c r="G3811">
        <v>2007</v>
      </c>
      <c r="H3811" t="s">
        <v>804</v>
      </c>
      <c r="I3811" t="s">
        <v>3448</v>
      </c>
      <c r="J3811" t="s">
        <v>6390</v>
      </c>
      <c r="K3811" t="s">
        <v>25</v>
      </c>
      <c r="L3811" t="s">
        <v>26</v>
      </c>
      <c r="M3811" t="b">
        <v>1</v>
      </c>
      <c r="N3811" t="s">
        <v>795</v>
      </c>
      <c r="O3811" t="str">
        <f>"253"</f>
        <v>253</v>
      </c>
      <c r="P3811" t="s">
        <v>9320</v>
      </c>
      <c r="Q3811" t="b">
        <v>0</v>
      </c>
      <c r="S3811" t="str">
        <f>"9780310283058"</f>
        <v>9780310283058</v>
      </c>
      <c r="T3811" t="str">
        <f>"9780310313182"</f>
        <v>9780310313182</v>
      </c>
      <c r="U3811" t="b">
        <v>0</v>
      </c>
      <c r="W3811" t="b">
        <v>0</v>
      </c>
    </row>
    <row r="3812" spans="1:23" x14ac:dyDescent="0.3">
      <c r="A3812">
        <v>1524846</v>
      </c>
      <c r="B3812">
        <v>58.62</v>
      </c>
      <c r="C3812" t="s">
        <v>9321</v>
      </c>
      <c r="D3812" t="s">
        <v>9322</v>
      </c>
      <c r="E3812" t="s">
        <v>49</v>
      </c>
      <c r="F3812" t="s">
        <v>106</v>
      </c>
      <c r="G3812">
        <v>2011</v>
      </c>
      <c r="H3812" t="s">
        <v>115</v>
      </c>
      <c r="I3812" t="s">
        <v>1303</v>
      </c>
      <c r="J3812" t="s">
        <v>9323</v>
      </c>
      <c r="K3812" t="s">
        <v>25</v>
      </c>
      <c r="L3812" t="s">
        <v>30</v>
      </c>
      <c r="M3812" t="b">
        <v>1</v>
      </c>
      <c r="N3812" t="s">
        <v>946</v>
      </c>
      <c r="O3812" t="str">
        <f>"231"</f>
        <v>231</v>
      </c>
      <c r="P3812" t="s">
        <v>9324</v>
      </c>
      <c r="Q3812" t="b">
        <v>0</v>
      </c>
      <c r="S3812" t="str">
        <f>"9780310493129"</f>
        <v>9780310493129</v>
      </c>
      <c r="T3812" t="str">
        <f>"9780310493785"</f>
        <v>9780310493785</v>
      </c>
      <c r="U3812" t="b">
        <v>0</v>
      </c>
      <c r="W3812" t="b">
        <v>0</v>
      </c>
    </row>
    <row r="3813" spans="1:23" x14ac:dyDescent="0.3">
      <c r="A3813">
        <v>1524845</v>
      </c>
      <c r="B3813">
        <v>44.82</v>
      </c>
      <c r="C3813" t="s">
        <v>9325</v>
      </c>
      <c r="D3813" t="s">
        <v>9322</v>
      </c>
      <c r="E3813" t="s">
        <v>49</v>
      </c>
      <c r="F3813" t="s">
        <v>106</v>
      </c>
      <c r="G3813">
        <v>2011</v>
      </c>
      <c r="H3813" t="s">
        <v>115</v>
      </c>
      <c r="I3813" t="s">
        <v>9185</v>
      </c>
      <c r="J3813" t="s">
        <v>7072</v>
      </c>
      <c r="K3813" t="s">
        <v>25</v>
      </c>
      <c r="L3813" t="s">
        <v>30</v>
      </c>
      <c r="M3813" t="b">
        <v>1</v>
      </c>
      <c r="N3813" t="s">
        <v>946</v>
      </c>
      <c r="O3813" t="str">
        <f>"230.046"</f>
        <v>230.046</v>
      </c>
      <c r="P3813" t="s">
        <v>9324</v>
      </c>
      <c r="Q3813" t="b">
        <v>0</v>
      </c>
      <c r="S3813" t="str">
        <f>"9780310493174"</f>
        <v>9780310493174</v>
      </c>
      <c r="T3813" t="str">
        <f>"9780310493846"</f>
        <v>9780310493846</v>
      </c>
      <c r="U3813" t="b">
        <v>0</v>
      </c>
      <c r="W3813" t="b">
        <v>0</v>
      </c>
    </row>
    <row r="3814" spans="1:23" x14ac:dyDescent="0.3">
      <c r="A3814">
        <v>1524844</v>
      </c>
      <c r="B3814">
        <v>51.72</v>
      </c>
      <c r="C3814" t="s">
        <v>9326</v>
      </c>
      <c r="D3814" t="s">
        <v>9322</v>
      </c>
      <c r="E3814" t="s">
        <v>49</v>
      </c>
      <c r="F3814" t="s">
        <v>106</v>
      </c>
      <c r="G3814">
        <v>2011</v>
      </c>
      <c r="H3814" t="s">
        <v>115</v>
      </c>
      <c r="I3814" t="s">
        <v>8434</v>
      </c>
      <c r="J3814" t="s">
        <v>9327</v>
      </c>
      <c r="K3814" t="s">
        <v>25</v>
      </c>
      <c r="L3814" t="s">
        <v>30</v>
      </c>
      <c r="M3814" t="b">
        <v>1</v>
      </c>
      <c r="N3814" t="s">
        <v>946</v>
      </c>
      <c r="O3814" t="str">
        <f>"230.046"</f>
        <v>230.046</v>
      </c>
      <c r="P3814" t="s">
        <v>9324</v>
      </c>
      <c r="Q3814" t="b">
        <v>0</v>
      </c>
      <c r="S3814" t="str">
        <f>"9780310493167"</f>
        <v>9780310493167</v>
      </c>
      <c r="T3814" t="str">
        <f>"9780310493839"</f>
        <v>9780310493839</v>
      </c>
      <c r="U3814" t="b">
        <v>0</v>
      </c>
      <c r="W3814" t="b">
        <v>0</v>
      </c>
    </row>
    <row r="3815" spans="1:23" x14ac:dyDescent="0.3">
      <c r="A3815">
        <v>1524843</v>
      </c>
      <c r="B3815">
        <v>44.82</v>
      </c>
      <c r="C3815" t="s">
        <v>9328</v>
      </c>
      <c r="D3815" t="s">
        <v>9322</v>
      </c>
      <c r="E3815" t="s">
        <v>49</v>
      </c>
      <c r="F3815" t="s">
        <v>106</v>
      </c>
      <c r="G3815">
        <v>2011</v>
      </c>
      <c r="H3815" t="s">
        <v>115</v>
      </c>
      <c r="I3815" t="s">
        <v>9185</v>
      </c>
      <c r="J3815" t="s">
        <v>895</v>
      </c>
      <c r="K3815" t="s">
        <v>25</v>
      </c>
      <c r="L3815" t="s">
        <v>30</v>
      </c>
      <c r="M3815" t="b">
        <v>1</v>
      </c>
      <c r="N3815" t="s">
        <v>946</v>
      </c>
      <c r="O3815" t="str">
        <f>"220.6"</f>
        <v>220.6</v>
      </c>
      <c r="P3815" t="s">
        <v>9324</v>
      </c>
      <c r="Q3815" t="b">
        <v>0</v>
      </c>
      <c r="S3815" t="str">
        <f>"9780310493112"</f>
        <v>9780310493112</v>
      </c>
      <c r="T3815" t="str">
        <f>"9780310493778"</f>
        <v>9780310493778</v>
      </c>
      <c r="U3815" t="b">
        <v>0</v>
      </c>
      <c r="W3815" t="b">
        <v>0</v>
      </c>
    </row>
    <row r="3816" spans="1:23" x14ac:dyDescent="0.3">
      <c r="A3816">
        <v>1524842</v>
      </c>
      <c r="B3816">
        <v>51.72</v>
      </c>
      <c r="C3816" t="s">
        <v>9329</v>
      </c>
      <c r="D3816" t="s">
        <v>9322</v>
      </c>
      <c r="E3816" t="s">
        <v>49</v>
      </c>
      <c r="F3816" t="s">
        <v>106</v>
      </c>
      <c r="G3816">
        <v>2011</v>
      </c>
      <c r="H3816" t="s">
        <v>115</v>
      </c>
      <c r="I3816" t="s">
        <v>9330</v>
      </c>
      <c r="J3816" t="s">
        <v>9331</v>
      </c>
      <c r="K3816" t="s">
        <v>25</v>
      </c>
      <c r="L3816" t="s">
        <v>30</v>
      </c>
      <c r="M3816" t="b">
        <v>1</v>
      </c>
      <c r="N3816" t="s">
        <v>946</v>
      </c>
      <c r="O3816" t="str">
        <f>"234"</f>
        <v>234</v>
      </c>
      <c r="P3816" t="s">
        <v>9324</v>
      </c>
      <c r="Q3816" t="b">
        <v>0</v>
      </c>
      <c r="S3816" t="str">
        <f>"9780310493150"</f>
        <v>9780310493150</v>
      </c>
      <c r="T3816" t="str">
        <f>"9780310493822"</f>
        <v>9780310493822</v>
      </c>
      <c r="U3816" t="b">
        <v>0</v>
      </c>
      <c r="W3816" t="b">
        <v>0</v>
      </c>
    </row>
    <row r="3817" spans="1:23" x14ac:dyDescent="0.3">
      <c r="A3817">
        <v>1524840</v>
      </c>
      <c r="B3817">
        <v>44.82</v>
      </c>
      <c r="C3817" t="s">
        <v>9332</v>
      </c>
      <c r="D3817" t="s">
        <v>9322</v>
      </c>
      <c r="E3817" t="s">
        <v>49</v>
      </c>
      <c r="F3817" t="s">
        <v>106</v>
      </c>
      <c r="G3817">
        <v>2011</v>
      </c>
      <c r="H3817" t="s">
        <v>115</v>
      </c>
      <c r="I3817" t="s">
        <v>9185</v>
      </c>
      <c r="J3817" t="s">
        <v>895</v>
      </c>
      <c r="K3817" t="s">
        <v>25</v>
      </c>
      <c r="L3817" t="s">
        <v>30</v>
      </c>
      <c r="M3817" t="b">
        <v>1</v>
      </c>
      <c r="N3817" t="s">
        <v>946</v>
      </c>
      <c r="O3817" t="str">
        <f>"230.0462"</f>
        <v>230.0462</v>
      </c>
      <c r="Q3817" t="b">
        <v>0</v>
      </c>
      <c r="S3817" t="str">
        <f>"9780310493136"</f>
        <v>9780310493136</v>
      </c>
      <c r="T3817" t="str">
        <f>"9780310493792"</f>
        <v>9780310493792</v>
      </c>
      <c r="U3817" t="b">
        <v>0</v>
      </c>
      <c r="W3817" t="b">
        <v>0</v>
      </c>
    </row>
    <row r="3818" spans="1:23" x14ac:dyDescent="0.3">
      <c r="A3818">
        <v>1524838</v>
      </c>
      <c r="B3818">
        <v>44.82</v>
      </c>
      <c r="C3818" t="s">
        <v>9333</v>
      </c>
      <c r="D3818" t="s">
        <v>9322</v>
      </c>
      <c r="E3818" t="s">
        <v>49</v>
      </c>
      <c r="F3818" t="s">
        <v>106</v>
      </c>
      <c r="G3818">
        <v>2011</v>
      </c>
      <c r="H3818" t="s">
        <v>115</v>
      </c>
      <c r="I3818" t="s">
        <v>9185</v>
      </c>
      <c r="J3818" t="s">
        <v>895</v>
      </c>
      <c r="K3818" t="s">
        <v>25</v>
      </c>
      <c r="L3818" t="s">
        <v>30</v>
      </c>
      <c r="M3818" t="b">
        <v>1</v>
      </c>
      <c r="N3818" t="s">
        <v>946</v>
      </c>
      <c r="O3818" t="str">
        <f>"232"</f>
        <v>232</v>
      </c>
      <c r="P3818" t="s">
        <v>9324</v>
      </c>
      <c r="Q3818" t="b">
        <v>0</v>
      </c>
      <c r="S3818" t="str">
        <f>"9780310493143"</f>
        <v>9780310493143</v>
      </c>
      <c r="T3818" t="str">
        <f>"9780310493815"</f>
        <v>9780310493815</v>
      </c>
      <c r="U3818" t="b">
        <v>0</v>
      </c>
      <c r="W3818" t="b">
        <v>0</v>
      </c>
    </row>
    <row r="3819" spans="1:23" x14ac:dyDescent="0.3">
      <c r="A3819">
        <v>1524836</v>
      </c>
      <c r="B3819">
        <v>103.47</v>
      </c>
      <c r="C3819" t="s">
        <v>9334</v>
      </c>
      <c r="E3819" t="s">
        <v>49</v>
      </c>
      <c r="F3819" t="s">
        <v>44</v>
      </c>
      <c r="G3819">
        <v>2010</v>
      </c>
      <c r="H3819" t="s">
        <v>70</v>
      </c>
      <c r="I3819" t="s">
        <v>937</v>
      </c>
      <c r="J3819" t="s">
        <v>938</v>
      </c>
      <c r="K3819" t="s">
        <v>25</v>
      </c>
      <c r="L3819" t="s">
        <v>30</v>
      </c>
      <c r="M3819" t="b">
        <v>1</v>
      </c>
      <c r="N3819" t="s">
        <v>9335</v>
      </c>
      <c r="O3819" t="str">
        <f>"230"</f>
        <v>230</v>
      </c>
      <c r="Q3819" t="b">
        <v>0</v>
      </c>
      <c r="S3819" t="str">
        <f>"9780310223900"</f>
        <v>9780310223900</v>
      </c>
      <c r="T3819" t="str">
        <f>"9780310873129"</f>
        <v>9780310873129</v>
      </c>
      <c r="U3819" t="b">
        <v>0</v>
      </c>
      <c r="W3819" t="b">
        <v>0</v>
      </c>
    </row>
    <row r="3820" spans="1:23" x14ac:dyDescent="0.3">
      <c r="A3820">
        <v>1524834</v>
      </c>
      <c r="B3820">
        <v>63.93</v>
      </c>
      <c r="C3820" t="s">
        <v>9336</v>
      </c>
      <c r="D3820" t="s">
        <v>9337</v>
      </c>
      <c r="E3820" t="s">
        <v>23</v>
      </c>
      <c r="F3820" t="s">
        <v>44</v>
      </c>
      <c r="G3820">
        <v>2010</v>
      </c>
      <c r="H3820" t="s">
        <v>739</v>
      </c>
      <c r="I3820" t="s">
        <v>9338</v>
      </c>
      <c r="J3820" t="s">
        <v>895</v>
      </c>
      <c r="K3820" t="s">
        <v>25</v>
      </c>
      <c r="L3820" t="s">
        <v>30</v>
      </c>
      <c r="M3820" t="b">
        <v>1</v>
      </c>
      <c r="N3820" t="s">
        <v>9012</v>
      </c>
      <c r="O3820" t="str">
        <f>"220.1/5"</f>
        <v>220.1/5</v>
      </c>
      <c r="Q3820" t="b">
        <v>0</v>
      </c>
      <c r="S3820" t="str">
        <f>"9780310541202"</f>
        <v>9780310541202</v>
      </c>
      <c r="T3820" t="str">
        <f>"9780310873112"</f>
        <v>9780310873112</v>
      </c>
      <c r="U3820" t="b">
        <v>0</v>
      </c>
      <c r="W3820" t="b">
        <v>0</v>
      </c>
    </row>
    <row r="3821" spans="1:23" x14ac:dyDescent="0.3">
      <c r="A3821">
        <v>1524832</v>
      </c>
      <c r="B3821">
        <v>60.37</v>
      </c>
      <c r="C3821" t="s">
        <v>5759</v>
      </c>
      <c r="E3821" t="s">
        <v>49</v>
      </c>
      <c r="F3821" t="s">
        <v>106</v>
      </c>
      <c r="G3821">
        <v>2009</v>
      </c>
      <c r="H3821" t="s">
        <v>5766</v>
      </c>
      <c r="I3821" t="s">
        <v>8484</v>
      </c>
      <c r="K3821" t="s">
        <v>25</v>
      </c>
      <c r="L3821" t="s">
        <v>30</v>
      </c>
      <c r="M3821" t="b">
        <v>1</v>
      </c>
      <c r="N3821" t="s">
        <v>9339</v>
      </c>
      <c r="O3821" t="str">
        <f>"220.7"</f>
        <v>220.7</v>
      </c>
      <c r="P3821" t="s">
        <v>6271</v>
      </c>
      <c r="Q3821" t="b">
        <v>0</v>
      </c>
      <c r="T3821" t="str">
        <f>"9780310532002"</f>
        <v>9780310532002</v>
      </c>
      <c r="U3821" t="b">
        <v>0</v>
      </c>
      <c r="V3821" t="s">
        <v>940</v>
      </c>
      <c r="W3821" t="b">
        <v>0</v>
      </c>
    </row>
    <row r="3822" spans="1:23" x14ac:dyDescent="0.3">
      <c r="A3822">
        <v>1524830</v>
      </c>
      <c r="B3822">
        <v>206.97</v>
      </c>
      <c r="C3822" t="s">
        <v>5759</v>
      </c>
      <c r="E3822" t="s">
        <v>49</v>
      </c>
      <c r="F3822" t="s">
        <v>106</v>
      </c>
      <c r="G3822">
        <v>2011</v>
      </c>
      <c r="H3822" t="s">
        <v>5766</v>
      </c>
      <c r="I3822" t="s">
        <v>9340</v>
      </c>
      <c r="K3822" t="s">
        <v>25</v>
      </c>
      <c r="L3822" t="s">
        <v>30</v>
      </c>
      <c r="M3822" t="b">
        <v>1</v>
      </c>
      <c r="N3822" t="s">
        <v>8481</v>
      </c>
      <c r="O3822" t="str">
        <f>"226.4/077"</f>
        <v>226.4/077</v>
      </c>
      <c r="P3822" t="s">
        <v>9341</v>
      </c>
      <c r="Q3822" t="b">
        <v>0</v>
      </c>
      <c r="S3822" t="str">
        <f>"9780310243595"</f>
        <v>9780310243595</v>
      </c>
      <c r="T3822" t="str">
        <f>"9780310492863"</f>
        <v>9780310492863</v>
      </c>
      <c r="U3822" t="b">
        <v>0</v>
      </c>
      <c r="W3822" t="b">
        <v>0</v>
      </c>
    </row>
    <row r="3823" spans="1:23" x14ac:dyDescent="0.3">
      <c r="A3823">
        <v>1524828</v>
      </c>
      <c r="B3823">
        <v>137.97</v>
      </c>
      <c r="C3823" t="s">
        <v>5759</v>
      </c>
      <c r="E3823" t="s">
        <v>49</v>
      </c>
      <c r="F3823" t="s">
        <v>106</v>
      </c>
      <c r="G3823">
        <v>2009</v>
      </c>
      <c r="H3823" t="s">
        <v>57</v>
      </c>
      <c r="I3823" t="s">
        <v>9342</v>
      </c>
      <c r="K3823" t="s">
        <v>25</v>
      </c>
      <c r="L3823" t="s">
        <v>30</v>
      </c>
      <c r="M3823" t="b">
        <v>1</v>
      </c>
      <c r="N3823" t="s">
        <v>6396</v>
      </c>
      <c r="O3823" t="str">
        <f>"226.4/077"</f>
        <v>226.4/077</v>
      </c>
      <c r="P3823" t="s">
        <v>9343</v>
      </c>
      <c r="Q3823" t="b">
        <v>0</v>
      </c>
      <c r="S3823" t="str">
        <f>"9780310493303"</f>
        <v>9780310493303</v>
      </c>
      <c r="T3823" t="str">
        <f>"9780310559085"</f>
        <v>9780310559085</v>
      </c>
      <c r="U3823" t="b">
        <v>0</v>
      </c>
      <c r="W3823" t="b">
        <v>0</v>
      </c>
    </row>
    <row r="3824" spans="1:23" x14ac:dyDescent="0.3">
      <c r="A3824">
        <v>1524826</v>
      </c>
      <c r="B3824">
        <v>78.14</v>
      </c>
      <c r="C3824" t="s">
        <v>9344</v>
      </c>
      <c r="D3824" t="s">
        <v>9345</v>
      </c>
      <c r="E3824" t="s">
        <v>49</v>
      </c>
      <c r="F3824" t="s">
        <v>106</v>
      </c>
      <c r="G3824">
        <v>2015</v>
      </c>
      <c r="H3824" t="s">
        <v>115</v>
      </c>
      <c r="I3824" t="s">
        <v>9346</v>
      </c>
      <c r="J3824" t="s">
        <v>9347</v>
      </c>
      <c r="K3824" t="s">
        <v>25</v>
      </c>
      <c r="L3824" t="s">
        <v>26</v>
      </c>
      <c r="M3824" t="b">
        <v>1</v>
      </c>
      <c r="N3824" t="s">
        <v>6304</v>
      </c>
      <c r="O3824" t="str">
        <f>"230/.2092"</f>
        <v>230/.2092</v>
      </c>
      <c r="Q3824" t="b">
        <v>0</v>
      </c>
      <c r="S3824" t="str">
        <f>"9780310516972"</f>
        <v>9780310516972</v>
      </c>
      <c r="T3824" t="str">
        <f>"9780310516989"</f>
        <v>9780310516989</v>
      </c>
      <c r="U3824" t="b">
        <v>0</v>
      </c>
      <c r="W3824" t="b">
        <v>0</v>
      </c>
    </row>
    <row r="3825" spans="1:23" x14ac:dyDescent="0.3">
      <c r="A3825">
        <v>1524824</v>
      </c>
      <c r="B3825">
        <v>93.12</v>
      </c>
      <c r="C3825" t="s">
        <v>9348</v>
      </c>
      <c r="D3825" t="s">
        <v>6351</v>
      </c>
      <c r="E3825" t="s">
        <v>49</v>
      </c>
      <c r="F3825" t="s">
        <v>106</v>
      </c>
      <c r="G3825">
        <v>2015</v>
      </c>
      <c r="H3825" t="s">
        <v>5760</v>
      </c>
      <c r="I3825" t="s">
        <v>7132</v>
      </c>
      <c r="J3825" t="s">
        <v>9349</v>
      </c>
      <c r="K3825" t="s">
        <v>25</v>
      </c>
      <c r="L3825" t="s">
        <v>26</v>
      </c>
      <c r="M3825" t="b">
        <v>1</v>
      </c>
      <c r="N3825" t="s">
        <v>6354</v>
      </c>
      <c r="O3825" t="str">
        <f>"232/.3"</f>
        <v>232/.3</v>
      </c>
      <c r="Q3825" t="b">
        <v>0</v>
      </c>
      <c r="S3825" t="str">
        <f>"9780310521167"</f>
        <v>9780310521167</v>
      </c>
      <c r="T3825" t="str">
        <f>"9780310521174"</f>
        <v>9780310521174</v>
      </c>
      <c r="U3825" t="b">
        <v>0</v>
      </c>
      <c r="W3825" t="b">
        <v>0</v>
      </c>
    </row>
    <row r="3826" spans="1:23" x14ac:dyDescent="0.3">
      <c r="A3826">
        <v>1524821</v>
      </c>
      <c r="B3826">
        <v>113.82</v>
      </c>
      <c r="C3826" t="s">
        <v>9350</v>
      </c>
      <c r="D3826" t="s">
        <v>9351</v>
      </c>
      <c r="E3826" t="s">
        <v>49</v>
      </c>
      <c r="F3826" t="s">
        <v>106</v>
      </c>
      <c r="G3826">
        <v>2010</v>
      </c>
      <c r="H3826" t="s">
        <v>71</v>
      </c>
      <c r="I3826" t="s">
        <v>9352</v>
      </c>
      <c r="J3826" t="s">
        <v>9353</v>
      </c>
      <c r="K3826" t="s">
        <v>25</v>
      </c>
      <c r="L3826" t="s">
        <v>30</v>
      </c>
      <c r="M3826" t="b">
        <v>1</v>
      </c>
      <c r="N3826" t="s">
        <v>8883</v>
      </c>
      <c r="O3826" t="str">
        <f>"190"</f>
        <v>190</v>
      </c>
      <c r="Q3826" t="b">
        <v>0</v>
      </c>
      <c r="S3826" t="str">
        <f>"9780310223641"</f>
        <v>9780310223641</v>
      </c>
      <c r="T3826" t="str">
        <f>"9780310873068"</f>
        <v>9780310873068</v>
      </c>
      <c r="U3826" t="b">
        <v>0</v>
      </c>
      <c r="W3826" t="b">
        <v>0</v>
      </c>
    </row>
    <row r="3827" spans="1:23" x14ac:dyDescent="0.3">
      <c r="A3827">
        <v>1524817</v>
      </c>
      <c r="B3827">
        <v>155.22</v>
      </c>
      <c r="C3827" t="s">
        <v>9354</v>
      </c>
      <c r="E3827" t="s">
        <v>49</v>
      </c>
      <c r="F3827" t="s">
        <v>106</v>
      </c>
      <c r="G3827">
        <v>2004</v>
      </c>
      <c r="H3827" t="s">
        <v>6356</v>
      </c>
      <c r="I3827" t="s">
        <v>9355</v>
      </c>
      <c r="K3827" t="s">
        <v>25</v>
      </c>
      <c r="L3827" t="s">
        <v>30</v>
      </c>
      <c r="M3827" t="b">
        <v>1</v>
      </c>
      <c r="N3827" t="s">
        <v>9356</v>
      </c>
      <c r="O3827" t="str">
        <f>"222/.13077"</f>
        <v>222/.13077</v>
      </c>
      <c r="P3827" t="s">
        <v>6300</v>
      </c>
      <c r="Q3827" t="b">
        <v>0</v>
      </c>
      <c r="S3827" t="str">
        <f>"9780310210887"</f>
        <v>9780310210887</v>
      </c>
      <c r="T3827" t="str">
        <f>"9780310873013"</f>
        <v>9780310873013</v>
      </c>
      <c r="U3827" t="b">
        <v>0</v>
      </c>
      <c r="W3827" t="b">
        <v>0</v>
      </c>
    </row>
    <row r="3828" spans="1:23" x14ac:dyDescent="0.3">
      <c r="A3828">
        <v>1524815</v>
      </c>
      <c r="B3828">
        <v>62.07</v>
      </c>
      <c r="C3828" t="s">
        <v>9357</v>
      </c>
      <c r="D3828" t="s">
        <v>9358</v>
      </c>
      <c r="E3828" t="s">
        <v>23</v>
      </c>
      <c r="F3828" t="s">
        <v>106</v>
      </c>
      <c r="G3828">
        <v>2011</v>
      </c>
      <c r="H3828" t="s">
        <v>71</v>
      </c>
      <c r="I3828" t="s">
        <v>937</v>
      </c>
      <c r="J3828" t="s">
        <v>8580</v>
      </c>
      <c r="K3828" t="s">
        <v>25</v>
      </c>
      <c r="L3828" t="s">
        <v>30</v>
      </c>
      <c r="M3828" t="b">
        <v>1</v>
      </c>
      <c r="N3828" t="s">
        <v>4461</v>
      </c>
      <c r="O3828" t="str">
        <f>"230"</f>
        <v>230</v>
      </c>
      <c r="Q3828" t="b">
        <v>0</v>
      </c>
      <c r="S3828" t="str">
        <f>"9780310262619"</f>
        <v>9780310262619</v>
      </c>
      <c r="T3828" t="str">
        <f>"9780310854241"</f>
        <v>9780310854241</v>
      </c>
      <c r="U3828" t="b">
        <v>0</v>
      </c>
      <c r="W3828" t="b">
        <v>0</v>
      </c>
    </row>
    <row r="3829" spans="1:23" x14ac:dyDescent="0.3">
      <c r="A3829">
        <v>1524813</v>
      </c>
      <c r="B3829">
        <v>79.319999999999993</v>
      </c>
      <c r="C3829" t="s">
        <v>9359</v>
      </c>
      <c r="E3829" t="s">
        <v>49</v>
      </c>
      <c r="F3829" t="s">
        <v>44</v>
      </c>
      <c r="G3829">
        <v>2010</v>
      </c>
      <c r="H3829" t="s">
        <v>3527</v>
      </c>
      <c r="K3829" t="s">
        <v>25</v>
      </c>
      <c r="L3829" t="s">
        <v>26</v>
      </c>
      <c r="M3829" t="b">
        <v>1</v>
      </c>
      <c r="N3829" t="s">
        <v>733</v>
      </c>
      <c r="Q3829" t="b">
        <v>0</v>
      </c>
      <c r="S3829" t="str">
        <f>"9780310329114"</f>
        <v>9780310329114</v>
      </c>
      <c r="T3829" t="str">
        <f>"9780310832003"</f>
        <v>9780310832003</v>
      </c>
      <c r="U3829" t="b">
        <v>0</v>
      </c>
      <c r="W3829" t="b">
        <v>0</v>
      </c>
    </row>
    <row r="3830" spans="1:23" x14ac:dyDescent="0.3">
      <c r="A3830">
        <v>1524811</v>
      </c>
      <c r="B3830">
        <v>65.52</v>
      </c>
      <c r="C3830" t="s">
        <v>9360</v>
      </c>
      <c r="D3830" t="s">
        <v>9361</v>
      </c>
      <c r="E3830" t="s">
        <v>49</v>
      </c>
      <c r="F3830" t="s">
        <v>44</v>
      </c>
      <c r="G3830">
        <v>2009</v>
      </c>
      <c r="H3830" t="s">
        <v>804</v>
      </c>
      <c r="I3830" t="s">
        <v>3448</v>
      </c>
      <c r="J3830" t="s">
        <v>3449</v>
      </c>
      <c r="K3830" t="s">
        <v>25</v>
      </c>
      <c r="L3830" t="s">
        <v>30</v>
      </c>
      <c r="M3830" t="b">
        <v>1</v>
      </c>
      <c r="N3830" t="s">
        <v>4647</v>
      </c>
      <c r="O3830" t="str">
        <f>"253"</f>
        <v>253</v>
      </c>
      <c r="P3830" t="s">
        <v>8206</v>
      </c>
      <c r="Q3830" t="b">
        <v>0</v>
      </c>
      <c r="S3830" t="str">
        <f>"9780310259435"</f>
        <v>9780310259435</v>
      </c>
      <c r="T3830" t="str">
        <f>"9780310571773"</f>
        <v>9780310571773</v>
      </c>
      <c r="U3830" t="b">
        <v>0</v>
      </c>
      <c r="W3830" t="b">
        <v>0</v>
      </c>
    </row>
    <row r="3831" spans="1:23" x14ac:dyDescent="0.3">
      <c r="A3831">
        <v>1524809</v>
      </c>
      <c r="B3831">
        <v>44.82</v>
      </c>
      <c r="C3831" t="s">
        <v>9362</v>
      </c>
      <c r="E3831" t="s">
        <v>49</v>
      </c>
      <c r="F3831" t="s">
        <v>44</v>
      </c>
      <c r="G3831">
        <v>2014</v>
      </c>
      <c r="H3831" t="s">
        <v>6490</v>
      </c>
      <c r="I3831" t="s">
        <v>9363</v>
      </c>
      <c r="J3831" t="s">
        <v>9364</v>
      </c>
      <c r="K3831" t="s">
        <v>25</v>
      </c>
      <c r="L3831" t="s">
        <v>26</v>
      </c>
      <c r="M3831" t="b">
        <v>1</v>
      </c>
      <c r="N3831" t="s">
        <v>9365</v>
      </c>
      <c r="O3831" t="str">
        <f>"273"</f>
        <v>273</v>
      </c>
      <c r="P3831" t="s">
        <v>9366</v>
      </c>
      <c r="Q3831" t="b">
        <v>0</v>
      </c>
      <c r="S3831" t="str">
        <f>"9780310515074"</f>
        <v>9780310515074</v>
      </c>
      <c r="T3831" t="str">
        <f>"9780310515081"</f>
        <v>9780310515081</v>
      </c>
      <c r="U3831" t="b">
        <v>0</v>
      </c>
      <c r="W3831" t="b">
        <v>0</v>
      </c>
    </row>
    <row r="3832" spans="1:23" x14ac:dyDescent="0.3">
      <c r="A3832">
        <v>1524807</v>
      </c>
      <c r="B3832">
        <v>44.82</v>
      </c>
      <c r="C3832" t="s">
        <v>9367</v>
      </c>
      <c r="E3832" t="s">
        <v>49</v>
      </c>
      <c r="F3832" t="s">
        <v>44</v>
      </c>
      <c r="G3832">
        <v>2014</v>
      </c>
      <c r="H3832" t="s">
        <v>9188</v>
      </c>
      <c r="I3832" t="s">
        <v>9368</v>
      </c>
      <c r="J3832" t="s">
        <v>9369</v>
      </c>
      <c r="K3832" t="s">
        <v>25</v>
      </c>
      <c r="L3832" t="s">
        <v>26</v>
      </c>
      <c r="M3832" t="b">
        <v>1</v>
      </c>
      <c r="N3832" t="s">
        <v>9365</v>
      </c>
      <c r="O3832" t="str">
        <f>"238"</f>
        <v>238</v>
      </c>
      <c r="P3832" t="s">
        <v>6889</v>
      </c>
      <c r="Q3832" t="b">
        <v>0</v>
      </c>
      <c r="S3832" t="str">
        <f>"9780310515098"</f>
        <v>9780310515098</v>
      </c>
      <c r="T3832" t="str">
        <f>"9780310515104"</f>
        <v>9780310515104</v>
      </c>
      <c r="U3832" t="b">
        <v>0</v>
      </c>
      <c r="W3832" t="b">
        <v>0</v>
      </c>
    </row>
    <row r="3833" spans="1:23" x14ac:dyDescent="0.3">
      <c r="A3833">
        <v>1524803</v>
      </c>
      <c r="B3833">
        <v>34.47</v>
      </c>
      <c r="C3833" t="s">
        <v>9370</v>
      </c>
      <c r="D3833" t="s">
        <v>9371</v>
      </c>
      <c r="E3833" t="s">
        <v>49</v>
      </c>
      <c r="F3833" t="s">
        <v>106</v>
      </c>
      <c r="G3833">
        <v>2010</v>
      </c>
      <c r="H3833" t="s">
        <v>893</v>
      </c>
      <c r="I3833" t="s">
        <v>9372</v>
      </c>
      <c r="J3833" t="s">
        <v>9373</v>
      </c>
      <c r="K3833" t="s">
        <v>25</v>
      </c>
      <c r="L3833" t="s">
        <v>30</v>
      </c>
      <c r="M3833" t="b">
        <v>1</v>
      </c>
      <c r="N3833" t="s">
        <v>6419</v>
      </c>
      <c r="O3833" t="str">
        <f>"487/.4"</f>
        <v>487/.4</v>
      </c>
      <c r="Q3833" t="b">
        <v>0</v>
      </c>
      <c r="S3833" t="str">
        <f>"9780310329077"</f>
        <v>9780310329077</v>
      </c>
      <c r="T3833" t="str">
        <f>"9780310591771"</f>
        <v>9780310591771</v>
      </c>
      <c r="U3833" t="b">
        <v>0</v>
      </c>
      <c r="W3833" t="b">
        <v>0</v>
      </c>
    </row>
    <row r="3834" spans="1:23" x14ac:dyDescent="0.3">
      <c r="A3834">
        <v>1524800</v>
      </c>
      <c r="B3834">
        <v>65.52</v>
      </c>
      <c r="C3834" t="s">
        <v>9374</v>
      </c>
      <c r="D3834" t="s">
        <v>9375</v>
      </c>
      <c r="E3834" t="s">
        <v>23</v>
      </c>
      <c r="F3834" t="s">
        <v>44</v>
      </c>
      <c r="G3834">
        <v>2012</v>
      </c>
      <c r="H3834" t="s">
        <v>9376</v>
      </c>
      <c r="I3834" t="s">
        <v>5346</v>
      </c>
      <c r="J3834" t="s">
        <v>9377</v>
      </c>
      <c r="K3834" t="s">
        <v>25</v>
      </c>
      <c r="L3834" t="s">
        <v>30</v>
      </c>
      <c r="M3834" t="b">
        <v>1</v>
      </c>
      <c r="N3834" t="s">
        <v>44</v>
      </c>
      <c r="O3834" t="str">
        <f>"248.2/4"</f>
        <v>248.2/4</v>
      </c>
      <c r="Q3834" t="b">
        <v>0</v>
      </c>
      <c r="S3834" t="str">
        <f>"9780310331209"</f>
        <v>9780310331209</v>
      </c>
      <c r="T3834" t="str">
        <f>"9780310416715"</f>
        <v>9780310416715</v>
      </c>
      <c r="U3834" t="b">
        <v>0</v>
      </c>
      <c r="W3834" t="b">
        <v>0</v>
      </c>
    </row>
    <row r="3835" spans="1:23" x14ac:dyDescent="0.3">
      <c r="A3835">
        <v>1524798</v>
      </c>
      <c r="B3835">
        <v>137.97</v>
      </c>
      <c r="C3835" t="s">
        <v>6305</v>
      </c>
      <c r="E3835" t="s">
        <v>49</v>
      </c>
      <c r="F3835" t="s">
        <v>106</v>
      </c>
      <c r="G3835">
        <v>2009</v>
      </c>
      <c r="H3835" t="s">
        <v>927</v>
      </c>
      <c r="I3835" t="s">
        <v>9378</v>
      </c>
      <c r="K3835" t="s">
        <v>25</v>
      </c>
      <c r="L3835" t="s">
        <v>26</v>
      </c>
      <c r="M3835" t="b">
        <v>1</v>
      </c>
      <c r="N3835" t="s">
        <v>9379</v>
      </c>
      <c r="O3835" t="str">
        <f>"222/.207"</f>
        <v>222/.207</v>
      </c>
      <c r="P3835" t="s">
        <v>9343</v>
      </c>
      <c r="Q3835" t="b">
        <v>0</v>
      </c>
      <c r="S3835" t="str">
        <f>"9780310209348"</f>
        <v>9780310209348</v>
      </c>
      <c r="T3835" t="str">
        <f>"9780310590620"</f>
        <v>9780310590620</v>
      </c>
      <c r="U3835" t="b">
        <v>0</v>
      </c>
      <c r="W3835" t="b">
        <v>0</v>
      </c>
    </row>
    <row r="3836" spans="1:23" x14ac:dyDescent="0.3">
      <c r="A3836">
        <v>1524796</v>
      </c>
      <c r="B3836">
        <v>103.47</v>
      </c>
      <c r="C3836" t="s">
        <v>9380</v>
      </c>
      <c r="E3836" t="s">
        <v>49</v>
      </c>
      <c r="F3836" t="s">
        <v>106</v>
      </c>
      <c r="G3836">
        <v>2009</v>
      </c>
      <c r="H3836" t="s">
        <v>927</v>
      </c>
      <c r="I3836" t="s">
        <v>9381</v>
      </c>
      <c r="K3836" t="s">
        <v>25</v>
      </c>
      <c r="L3836" t="s">
        <v>30</v>
      </c>
      <c r="M3836" t="b">
        <v>1</v>
      </c>
      <c r="N3836" t="s">
        <v>9382</v>
      </c>
      <c r="O3836" t="str">
        <f>"224/.9077"</f>
        <v>224/.9077</v>
      </c>
      <c r="P3836" t="s">
        <v>6300</v>
      </c>
      <c r="Q3836" t="b">
        <v>0</v>
      </c>
      <c r="S3836" t="str">
        <f>"9780310206378"</f>
        <v>9780310206378</v>
      </c>
      <c r="T3836" t="str">
        <f>"9780310866411"</f>
        <v>9780310866411</v>
      </c>
      <c r="U3836" t="b">
        <v>0</v>
      </c>
      <c r="V3836" t="s">
        <v>2872</v>
      </c>
      <c r="W3836" t="b">
        <v>0</v>
      </c>
    </row>
    <row r="3837" spans="1:23" x14ac:dyDescent="0.3">
      <c r="A3837">
        <v>1524794</v>
      </c>
      <c r="B3837">
        <v>107.97</v>
      </c>
      <c r="C3837" t="s">
        <v>6606</v>
      </c>
      <c r="E3837" t="s">
        <v>23</v>
      </c>
      <c r="F3837" t="s">
        <v>44</v>
      </c>
      <c r="G3837">
        <v>2002</v>
      </c>
      <c r="H3837" t="s">
        <v>830</v>
      </c>
      <c r="I3837" t="s">
        <v>2420</v>
      </c>
      <c r="K3837" t="s">
        <v>25</v>
      </c>
      <c r="L3837" t="s">
        <v>30</v>
      </c>
      <c r="M3837" t="b">
        <v>1</v>
      </c>
      <c r="N3837" t="s">
        <v>9383</v>
      </c>
      <c r="O3837" t="str">
        <f>"226.5/077"</f>
        <v>226.5/077</v>
      </c>
      <c r="P3837" t="s">
        <v>6606</v>
      </c>
      <c r="Q3837" t="b">
        <v>0</v>
      </c>
      <c r="S3837" t="str">
        <f>"9780310218074"</f>
        <v>9780310218074</v>
      </c>
      <c r="T3837" t="str">
        <f>"9780310872856"</f>
        <v>9780310872856</v>
      </c>
      <c r="U3837" t="b">
        <v>0</v>
      </c>
      <c r="W3837" t="b">
        <v>0</v>
      </c>
    </row>
    <row r="3838" spans="1:23" x14ac:dyDescent="0.3">
      <c r="A3838">
        <v>1524792</v>
      </c>
      <c r="B3838">
        <v>79.319999999999993</v>
      </c>
      <c r="C3838" t="s">
        <v>9384</v>
      </c>
      <c r="D3838" t="s">
        <v>9385</v>
      </c>
      <c r="E3838" t="s">
        <v>49</v>
      </c>
      <c r="F3838" t="s">
        <v>106</v>
      </c>
      <c r="G3838">
        <v>2014</v>
      </c>
      <c r="H3838" t="s">
        <v>71</v>
      </c>
      <c r="I3838" t="s">
        <v>9386</v>
      </c>
      <c r="J3838" t="s">
        <v>9387</v>
      </c>
      <c r="K3838" t="s">
        <v>25</v>
      </c>
      <c r="L3838" t="s">
        <v>26</v>
      </c>
      <c r="M3838" t="b">
        <v>1</v>
      </c>
      <c r="N3838" t="s">
        <v>9388</v>
      </c>
      <c r="O3838" t="str">
        <f>"230/.7092"</f>
        <v>230/.7092</v>
      </c>
      <c r="P3838" t="s">
        <v>9389</v>
      </c>
      <c r="Q3838" t="b">
        <v>0</v>
      </c>
      <c r="S3838" t="str">
        <f>"9780310587187"</f>
        <v>9780310587187</v>
      </c>
      <c r="T3838" t="str">
        <f>"9780310587224"</f>
        <v>9780310587224</v>
      </c>
      <c r="U3838" t="b">
        <v>0</v>
      </c>
      <c r="W3838" t="b">
        <v>0</v>
      </c>
    </row>
    <row r="3839" spans="1:23" x14ac:dyDescent="0.3">
      <c r="A3839">
        <v>1524790</v>
      </c>
      <c r="B3839">
        <v>79.319999999999993</v>
      </c>
      <c r="C3839" t="s">
        <v>9390</v>
      </c>
      <c r="D3839" t="s">
        <v>9391</v>
      </c>
      <c r="E3839" t="s">
        <v>49</v>
      </c>
      <c r="F3839" t="s">
        <v>106</v>
      </c>
      <c r="G3839">
        <v>2012</v>
      </c>
      <c r="H3839" t="s">
        <v>71</v>
      </c>
      <c r="I3839" t="s">
        <v>9392</v>
      </c>
      <c r="J3839" t="s">
        <v>9393</v>
      </c>
      <c r="K3839" t="s">
        <v>25</v>
      </c>
      <c r="L3839" t="s">
        <v>26</v>
      </c>
      <c r="M3839" t="b">
        <v>1</v>
      </c>
      <c r="N3839" t="s">
        <v>9388</v>
      </c>
      <c r="O3839" t="str">
        <f>"230/.7092"</f>
        <v>230/.7092</v>
      </c>
      <c r="P3839" t="s">
        <v>9389</v>
      </c>
      <c r="Q3839" t="b">
        <v>0</v>
      </c>
      <c r="S3839" t="str">
        <f>"9780310587095"</f>
        <v>9780310587095</v>
      </c>
      <c r="T3839" t="str">
        <f>"9780310587132"</f>
        <v>9780310587132</v>
      </c>
      <c r="U3839" t="b">
        <v>0</v>
      </c>
      <c r="W3839" t="b">
        <v>0</v>
      </c>
    </row>
    <row r="3840" spans="1:23" x14ac:dyDescent="0.3">
      <c r="A3840">
        <v>1524788</v>
      </c>
      <c r="B3840">
        <v>79.319999999999993</v>
      </c>
      <c r="C3840" t="s">
        <v>9394</v>
      </c>
      <c r="D3840" t="s">
        <v>9395</v>
      </c>
      <c r="E3840" t="s">
        <v>49</v>
      </c>
      <c r="F3840" t="s">
        <v>106</v>
      </c>
      <c r="G3840">
        <v>2012</v>
      </c>
      <c r="H3840" t="s">
        <v>71</v>
      </c>
      <c r="I3840" t="s">
        <v>9396</v>
      </c>
      <c r="J3840" t="s">
        <v>9397</v>
      </c>
      <c r="K3840" t="s">
        <v>25</v>
      </c>
      <c r="L3840" t="s">
        <v>26</v>
      </c>
      <c r="M3840" t="b">
        <v>1</v>
      </c>
      <c r="N3840" t="s">
        <v>9388</v>
      </c>
      <c r="O3840" t="str">
        <f>"230/.7092"</f>
        <v>230/.7092</v>
      </c>
      <c r="Q3840" t="b">
        <v>0</v>
      </c>
      <c r="S3840" t="str">
        <f>"9780310492672"</f>
        <v>9780310492672</v>
      </c>
      <c r="T3840" t="str">
        <f>"9780310492689"</f>
        <v>9780310492689</v>
      </c>
      <c r="U3840" t="b">
        <v>0</v>
      </c>
      <c r="W3840" t="b">
        <v>0</v>
      </c>
    </row>
    <row r="3841" spans="1:23" x14ac:dyDescent="0.3">
      <c r="A3841">
        <v>1524787</v>
      </c>
      <c r="B3841">
        <v>79.319999999999993</v>
      </c>
      <c r="C3841" t="s">
        <v>9398</v>
      </c>
      <c r="D3841" t="s">
        <v>9399</v>
      </c>
      <c r="E3841" t="s">
        <v>49</v>
      </c>
      <c r="F3841" t="s">
        <v>106</v>
      </c>
      <c r="G3841">
        <v>2012</v>
      </c>
      <c r="H3841" t="s">
        <v>71</v>
      </c>
      <c r="I3841" t="s">
        <v>9396</v>
      </c>
      <c r="J3841" t="s">
        <v>9393</v>
      </c>
      <c r="K3841" t="s">
        <v>25</v>
      </c>
      <c r="L3841" t="s">
        <v>26</v>
      </c>
      <c r="M3841" t="b">
        <v>1</v>
      </c>
      <c r="N3841" t="s">
        <v>9388</v>
      </c>
      <c r="O3841" t="str">
        <f>"230/.7092"</f>
        <v>230/.7092</v>
      </c>
      <c r="P3841" t="s">
        <v>9389</v>
      </c>
      <c r="Q3841" t="b">
        <v>0</v>
      </c>
      <c r="S3841" t="str">
        <f>"9780310328155"</f>
        <v>9780310328155</v>
      </c>
      <c r="T3841" t="str">
        <f>"9780310587040"</f>
        <v>9780310587040</v>
      </c>
      <c r="U3841" t="b">
        <v>0</v>
      </c>
      <c r="W3841" t="b">
        <v>0</v>
      </c>
    </row>
    <row r="3842" spans="1:23" x14ac:dyDescent="0.3">
      <c r="A3842">
        <v>1524785</v>
      </c>
      <c r="B3842">
        <v>172.47</v>
      </c>
      <c r="C3842" t="s">
        <v>3440</v>
      </c>
      <c r="E3842" t="s">
        <v>49</v>
      </c>
      <c r="F3842" t="s">
        <v>106</v>
      </c>
      <c r="G3842">
        <v>2009</v>
      </c>
      <c r="H3842" t="s">
        <v>6799</v>
      </c>
      <c r="I3842" t="s">
        <v>9400</v>
      </c>
      <c r="K3842" t="s">
        <v>25</v>
      </c>
      <c r="L3842" t="s">
        <v>30</v>
      </c>
      <c r="M3842" t="b">
        <v>1</v>
      </c>
      <c r="N3842" t="s">
        <v>9051</v>
      </c>
      <c r="O3842" t="str">
        <f>"226.5/077"</f>
        <v>226.5/077</v>
      </c>
      <c r="P3842" t="s">
        <v>6300</v>
      </c>
      <c r="Q3842" t="b">
        <v>0</v>
      </c>
      <c r="S3842" t="str">
        <f>"9780310497509"</f>
        <v>9780310497509</v>
      </c>
      <c r="T3842" t="str">
        <f>"9780310559023"</f>
        <v>9780310559023</v>
      </c>
      <c r="U3842" t="b">
        <v>0</v>
      </c>
      <c r="V3842" t="s">
        <v>2872</v>
      </c>
      <c r="W3842" t="b">
        <v>0</v>
      </c>
    </row>
    <row r="3843" spans="1:23" x14ac:dyDescent="0.3">
      <c r="A3843">
        <v>1524782</v>
      </c>
      <c r="B3843">
        <v>113.82</v>
      </c>
      <c r="C3843" t="s">
        <v>3416</v>
      </c>
      <c r="E3843" t="s">
        <v>49</v>
      </c>
      <c r="F3843" t="s">
        <v>106</v>
      </c>
      <c r="G3843">
        <v>2012</v>
      </c>
      <c r="H3843" t="s">
        <v>3417</v>
      </c>
      <c r="I3843" t="s">
        <v>9401</v>
      </c>
      <c r="K3843" t="s">
        <v>25</v>
      </c>
      <c r="L3843" t="s">
        <v>30</v>
      </c>
      <c r="M3843" t="b">
        <v>1</v>
      </c>
      <c r="N3843" t="s">
        <v>6560</v>
      </c>
      <c r="O3843" t="str">
        <f>"223/.1077"</f>
        <v>223/.1077</v>
      </c>
      <c r="P3843" t="s">
        <v>6300</v>
      </c>
      <c r="Q3843" t="b">
        <v>0</v>
      </c>
      <c r="S3843" t="str">
        <f>"9780310214427"</f>
        <v>9780310214427</v>
      </c>
      <c r="T3843" t="str">
        <f>"9780310492009"</f>
        <v>9780310492009</v>
      </c>
      <c r="U3843" t="b">
        <v>0</v>
      </c>
      <c r="W3843" t="b">
        <v>0</v>
      </c>
    </row>
    <row r="3844" spans="1:23" x14ac:dyDescent="0.3">
      <c r="A3844">
        <v>1524780</v>
      </c>
      <c r="B3844">
        <v>42.61</v>
      </c>
      <c r="C3844" t="s">
        <v>9402</v>
      </c>
      <c r="E3844" t="s">
        <v>49</v>
      </c>
      <c r="F3844" t="s">
        <v>106</v>
      </c>
      <c r="G3844">
        <v>2009</v>
      </c>
      <c r="H3844" t="s">
        <v>881</v>
      </c>
      <c r="K3844" t="s">
        <v>25</v>
      </c>
      <c r="L3844" t="s">
        <v>30</v>
      </c>
      <c r="M3844" t="b">
        <v>1</v>
      </c>
      <c r="N3844" t="s">
        <v>9051</v>
      </c>
      <c r="P3844" t="s">
        <v>9113</v>
      </c>
      <c r="Q3844" t="b">
        <v>0</v>
      </c>
      <c r="S3844" t="str">
        <f>"9780310280453"</f>
        <v>9780310280453</v>
      </c>
      <c r="T3844" t="str">
        <f>"9780310866404"</f>
        <v>9780310866404</v>
      </c>
      <c r="U3844" t="b">
        <v>0</v>
      </c>
      <c r="W3844" t="b">
        <v>0</v>
      </c>
    </row>
    <row r="3845" spans="1:23" x14ac:dyDescent="0.3">
      <c r="A3845">
        <v>1524779</v>
      </c>
      <c r="B3845">
        <v>10.63</v>
      </c>
      <c r="C3845" t="s">
        <v>9403</v>
      </c>
      <c r="D3845" t="s">
        <v>9404</v>
      </c>
      <c r="E3845" t="s">
        <v>49</v>
      </c>
      <c r="F3845" t="s">
        <v>44</v>
      </c>
      <c r="G3845">
        <v>2012</v>
      </c>
      <c r="H3845" t="s">
        <v>804</v>
      </c>
      <c r="I3845" t="s">
        <v>9405</v>
      </c>
      <c r="J3845" t="s">
        <v>9406</v>
      </c>
      <c r="K3845" t="s">
        <v>25</v>
      </c>
      <c r="L3845" t="s">
        <v>30</v>
      </c>
      <c r="M3845" t="b">
        <v>1</v>
      </c>
      <c r="N3845" t="s">
        <v>9407</v>
      </c>
      <c r="O3845" t="str">
        <f>"262/.14081"</f>
        <v>262/.14081</v>
      </c>
      <c r="Q3845" t="b">
        <v>0</v>
      </c>
      <c r="T3845" t="str">
        <f>"9780310498186"</f>
        <v>9780310498186</v>
      </c>
      <c r="U3845" t="b">
        <v>0</v>
      </c>
      <c r="W3845" t="b">
        <v>0</v>
      </c>
    </row>
    <row r="3846" spans="1:23" x14ac:dyDescent="0.3">
      <c r="A3846">
        <v>1524778</v>
      </c>
      <c r="B3846">
        <v>85.25</v>
      </c>
      <c r="C3846" t="s">
        <v>9408</v>
      </c>
      <c r="D3846" t="s">
        <v>9409</v>
      </c>
      <c r="E3846" t="s">
        <v>23</v>
      </c>
      <c r="F3846" t="s">
        <v>44</v>
      </c>
      <c r="G3846">
        <v>2014</v>
      </c>
      <c r="H3846" t="s">
        <v>2322</v>
      </c>
      <c r="I3846" t="s">
        <v>6403</v>
      </c>
      <c r="K3846" t="s">
        <v>25</v>
      </c>
      <c r="L3846" t="s">
        <v>30</v>
      </c>
      <c r="M3846" t="b">
        <v>1</v>
      </c>
      <c r="N3846" t="s">
        <v>9410</v>
      </c>
      <c r="O3846" t="str">
        <f>"232"</f>
        <v>232</v>
      </c>
      <c r="Q3846" t="b">
        <v>0</v>
      </c>
      <c r="S3846" t="str">
        <f>"9780310515371"</f>
        <v>9780310515371</v>
      </c>
      <c r="T3846" t="str">
        <f>"9780310515388"</f>
        <v>9780310515388</v>
      </c>
      <c r="U3846" t="b">
        <v>0</v>
      </c>
      <c r="W3846" t="b">
        <v>0</v>
      </c>
    </row>
    <row r="3847" spans="1:23" x14ac:dyDescent="0.3">
      <c r="A3847">
        <v>1524776</v>
      </c>
      <c r="B3847">
        <v>58.62</v>
      </c>
      <c r="C3847" t="s">
        <v>9411</v>
      </c>
      <c r="D3847" t="s">
        <v>9412</v>
      </c>
      <c r="E3847" t="s">
        <v>49</v>
      </c>
      <c r="F3847" t="s">
        <v>106</v>
      </c>
      <c r="G3847">
        <v>1995</v>
      </c>
      <c r="H3847" t="s">
        <v>71</v>
      </c>
      <c r="I3847" t="s">
        <v>9413</v>
      </c>
      <c r="K3847" t="s">
        <v>25</v>
      </c>
      <c r="L3847" t="s">
        <v>26</v>
      </c>
      <c r="M3847" t="b">
        <v>1</v>
      </c>
      <c r="N3847" t="s">
        <v>44</v>
      </c>
      <c r="O3847" t="str">
        <f>"232.9/08"</f>
        <v>232.9/08</v>
      </c>
      <c r="Q3847" t="b">
        <v>0</v>
      </c>
      <c r="S3847" t="str">
        <f>"9780310211396"</f>
        <v>9780310211396</v>
      </c>
      <c r="T3847" t="str">
        <f>"9780310877134"</f>
        <v>9780310877134</v>
      </c>
      <c r="U3847" t="b">
        <v>0</v>
      </c>
      <c r="W3847" t="b">
        <v>0</v>
      </c>
    </row>
    <row r="3848" spans="1:23" x14ac:dyDescent="0.3">
      <c r="A3848">
        <v>1524775</v>
      </c>
      <c r="B3848">
        <v>42.61</v>
      </c>
      <c r="C3848" t="s">
        <v>9414</v>
      </c>
      <c r="E3848" t="s">
        <v>49</v>
      </c>
      <c r="F3848" t="s">
        <v>106</v>
      </c>
      <c r="G3848">
        <v>2012</v>
      </c>
      <c r="H3848" t="s">
        <v>881</v>
      </c>
      <c r="I3848" t="s">
        <v>9415</v>
      </c>
      <c r="J3848" t="s">
        <v>9416</v>
      </c>
      <c r="K3848" t="s">
        <v>25</v>
      </c>
      <c r="L3848" t="s">
        <v>30</v>
      </c>
      <c r="M3848" t="b">
        <v>1</v>
      </c>
      <c r="N3848" t="s">
        <v>9051</v>
      </c>
      <c r="O3848" t="str">
        <f>"232.9/5"</f>
        <v>232.9/5</v>
      </c>
      <c r="Q3848" t="b">
        <v>0</v>
      </c>
      <c r="S3848" t="str">
        <f>"9780310280477"</f>
        <v>9780310280477</v>
      </c>
      <c r="T3848" t="str">
        <f>"9780310417422"</f>
        <v>9780310417422</v>
      </c>
      <c r="U3848" t="b">
        <v>0</v>
      </c>
      <c r="W3848" t="b">
        <v>0</v>
      </c>
    </row>
    <row r="3849" spans="1:23" x14ac:dyDescent="0.3">
      <c r="A3849">
        <v>1524773</v>
      </c>
      <c r="B3849">
        <v>86.22</v>
      </c>
      <c r="C3849" t="s">
        <v>9417</v>
      </c>
      <c r="D3849" t="s">
        <v>9418</v>
      </c>
      <c r="E3849" t="s">
        <v>49</v>
      </c>
      <c r="F3849" t="s">
        <v>106</v>
      </c>
      <c r="G3849">
        <v>2006</v>
      </c>
      <c r="H3849" t="s">
        <v>71</v>
      </c>
      <c r="I3849" t="s">
        <v>9419</v>
      </c>
      <c r="J3849" t="s">
        <v>9420</v>
      </c>
      <c r="K3849" t="s">
        <v>25</v>
      </c>
      <c r="L3849" t="s">
        <v>30</v>
      </c>
      <c r="M3849" t="b">
        <v>1</v>
      </c>
      <c r="N3849" t="s">
        <v>9421</v>
      </c>
      <c r="O3849" t="str">
        <f>"231/.044"</f>
        <v>231/.044</v>
      </c>
      <c r="Q3849" t="b">
        <v>0</v>
      </c>
      <c r="S3849" t="str">
        <f>"9780310266648"</f>
        <v>9780310266648</v>
      </c>
      <c r="T3849" t="str">
        <f>"9780310866381"</f>
        <v>9780310866381</v>
      </c>
      <c r="U3849" t="b">
        <v>0</v>
      </c>
      <c r="W3849" t="b">
        <v>0</v>
      </c>
    </row>
    <row r="3850" spans="1:23" x14ac:dyDescent="0.3">
      <c r="A3850">
        <v>1524771</v>
      </c>
      <c r="B3850">
        <v>113.82</v>
      </c>
      <c r="C3850" t="s">
        <v>8442</v>
      </c>
      <c r="E3850" t="s">
        <v>49</v>
      </c>
      <c r="F3850" t="s">
        <v>106</v>
      </c>
      <c r="G3850">
        <v>2002</v>
      </c>
      <c r="H3850" t="s">
        <v>927</v>
      </c>
      <c r="I3850" t="s">
        <v>8443</v>
      </c>
      <c r="K3850" t="s">
        <v>25</v>
      </c>
      <c r="L3850" t="s">
        <v>30</v>
      </c>
      <c r="M3850" t="b">
        <v>1</v>
      </c>
      <c r="N3850" t="s">
        <v>9422</v>
      </c>
      <c r="O3850" t="str">
        <f>"224/.2077"</f>
        <v>224/.2077</v>
      </c>
      <c r="P3850" t="s">
        <v>9343</v>
      </c>
      <c r="Q3850" t="b">
        <v>0</v>
      </c>
      <c r="S3850" t="str">
        <f>"9780310206163"</f>
        <v>9780310206163</v>
      </c>
      <c r="T3850" t="str">
        <f>"9780310872832"</f>
        <v>9780310872832</v>
      </c>
      <c r="U3850" t="b">
        <v>0</v>
      </c>
      <c r="W3850" t="b">
        <v>0</v>
      </c>
    </row>
    <row r="3851" spans="1:23" x14ac:dyDescent="0.3">
      <c r="A3851">
        <v>1524769</v>
      </c>
      <c r="B3851">
        <v>103.47</v>
      </c>
      <c r="C3851" t="s">
        <v>1232</v>
      </c>
      <c r="E3851" t="s">
        <v>49</v>
      </c>
      <c r="F3851" t="s">
        <v>106</v>
      </c>
      <c r="G3851">
        <v>1997</v>
      </c>
      <c r="H3851" t="s">
        <v>1181</v>
      </c>
      <c r="I3851" t="s">
        <v>1233</v>
      </c>
      <c r="K3851" t="s">
        <v>25</v>
      </c>
      <c r="L3851" t="s">
        <v>30</v>
      </c>
      <c r="M3851" t="b">
        <v>1</v>
      </c>
      <c r="N3851" t="s">
        <v>9423</v>
      </c>
      <c r="O3851" t="str">
        <f>"227/.91077"</f>
        <v>227/.91077</v>
      </c>
      <c r="P3851" t="s">
        <v>9343</v>
      </c>
      <c r="Q3851" t="b">
        <v>0</v>
      </c>
      <c r="S3851" t="str">
        <f>"9780310493600"</f>
        <v>9780310493600</v>
      </c>
      <c r="T3851" t="str">
        <f>"9780310872825"</f>
        <v>9780310872825</v>
      </c>
      <c r="U3851" t="b">
        <v>0</v>
      </c>
      <c r="W3851" t="b">
        <v>0</v>
      </c>
    </row>
    <row r="3852" spans="1:23" x14ac:dyDescent="0.3">
      <c r="A3852">
        <v>1524767</v>
      </c>
      <c r="B3852">
        <v>103.47</v>
      </c>
      <c r="C3852" t="s">
        <v>1232</v>
      </c>
      <c r="E3852" t="s">
        <v>49</v>
      </c>
      <c r="F3852" t="s">
        <v>106</v>
      </c>
      <c r="G3852">
        <v>2008</v>
      </c>
      <c r="H3852" t="s">
        <v>6799</v>
      </c>
      <c r="I3852" t="s">
        <v>9424</v>
      </c>
      <c r="K3852" t="s">
        <v>25</v>
      </c>
      <c r="L3852" t="s">
        <v>30</v>
      </c>
      <c r="M3852" t="b">
        <v>1</v>
      </c>
      <c r="N3852" t="s">
        <v>9425</v>
      </c>
      <c r="O3852" t="str">
        <f>"227/.9107"</f>
        <v>227/.9107</v>
      </c>
      <c r="P3852" t="s">
        <v>6373</v>
      </c>
      <c r="Q3852" t="b">
        <v>0</v>
      </c>
      <c r="S3852" t="str">
        <f>"9780310244028"</f>
        <v>9780310244028</v>
      </c>
      <c r="T3852" t="str">
        <f>"9780310590712"</f>
        <v>9780310590712</v>
      </c>
      <c r="U3852" t="b">
        <v>0</v>
      </c>
      <c r="W3852" t="b">
        <v>0</v>
      </c>
    </row>
    <row r="3853" spans="1:23" x14ac:dyDescent="0.3">
      <c r="A3853">
        <v>1524765</v>
      </c>
      <c r="B3853">
        <v>148.32</v>
      </c>
      <c r="C3853" t="s">
        <v>3433</v>
      </c>
      <c r="E3853" t="s">
        <v>49</v>
      </c>
      <c r="F3853" t="s">
        <v>106</v>
      </c>
      <c r="G3853">
        <v>2010</v>
      </c>
      <c r="H3853" t="s">
        <v>927</v>
      </c>
      <c r="I3853" t="s">
        <v>9426</v>
      </c>
      <c r="K3853" t="s">
        <v>25</v>
      </c>
      <c r="L3853" t="s">
        <v>30</v>
      </c>
      <c r="M3853" t="b">
        <v>1</v>
      </c>
      <c r="N3853" t="s">
        <v>8118</v>
      </c>
      <c r="O3853" t="str">
        <f>"224/.1077"</f>
        <v>224/.1077</v>
      </c>
      <c r="P3853" t="s">
        <v>9343</v>
      </c>
      <c r="Q3853" t="b">
        <v>0</v>
      </c>
      <c r="S3853" t="str">
        <f>"9780310206132"</f>
        <v>9780310206132</v>
      </c>
      <c r="T3853" t="str">
        <f>"9780310872801"</f>
        <v>9780310872801</v>
      </c>
      <c r="U3853" t="b">
        <v>0</v>
      </c>
      <c r="V3853" t="s">
        <v>2872</v>
      </c>
      <c r="W3853" t="b">
        <v>0</v>
      </c>
    </row>
    <row r="3854" spans="1:23" x14ac:dyDescent="0.3">
      <c r="A3854">
        <v>1524763</v>
      </c>
      <c r="B3854">
        <v>137.97</v>
      </c>
      <c r="C3854" t="s">
        <v>9427</v>
      </c>
      <c r="D3854" t="s">
        <v>9428</v>
      </c>
      <c r="E3854" t="s">
        <v>49</v>
      </c>
      <c r="F3854" t="s">
        <v>106</v>
      </c>
      <c r="G3854">
        <v>2009</v>
      </c>
      <c r="H3854" t="s">
        <v>179</v>
      </c>
      <c r="I3854" t="s">
        <v>4576</v>
      </c>
      <c r="J3854" t="s">
        <v>895</v>
      </c>
      <c r="K3854" t="s">
        <v>25</v>
      </c>
      <c r="L3854" t="s">
        <v>30</v>
      </c>
      <c r="M3854" t="b">
        <v>1</v>
      </c>
      <c r="N3854" t="s">
        <v>9429</v>
      </c>
      <c r="O3854" t="str">
        <f>"220.601"</f>
        <v>220.601</v>
      </c>
      <c r="Q3854" t="b">
        <v>0</v>
      </c>
      <c r="S3854" t="str">
        <f>"9780310324690"</f>
        <v>9780310324690</v>
      </c>
      <c r="T3854" t="str">
        <f>"9780310831709"</f>
        <v>9780310831709</v>
      </c>
      <c r="U3854" t="b">
        <v>0</v>
      </c>
      <c r="W3854" t="b">
        <v>0</v>
      </c>
    </row>
    <row r="3855" spans="1:23" x14ac:dyDescent="0.3">
      <c r="A3855">
        <v>1524762</v>
      </c>
      <c r="B3855">
        <v>65.52</v>
      </c>
      <c r="C3855" t="s">
        <v>9430</v>
      </c>
      <c r="D3855" t="s">
        <v>9431</v>
      </c>
      <c r="E3855" t="s">
        <v>23</v>
      </c>
      <c r="F3855" t="s">
        <v>106</v>
      </c>
      <c r="G3855">
        <v>2011</v>
      </c>
      <c r="H3855" t="s">
        <v>76</v>
      </c>
      <c r="I3855" t="s">
        <v>4864</v>
      </c>
      <c r="J3855" t="s">
        <v>9432</v>
      </c>
      <c r="K3855" t="s">
        <v>25</v>
      </c>
      <c r="L3855" t="s">
        <v>30</v>
      </c>
      <c r="M3855" t="b">
        <v>1</v>
      </c>
      <c r="N3855" t="s">
        <v>9433</v>
      </c>
      <c r="O3855" t="str">
        <f>"220.071/1"</f>
        <v>220.071/1</v>
      </c>
      <c r="Q3855" t="b">
        <v>0</v>
      </c>
      <c r="S3855" t="str">
        <f>"9780310493020"</f>
        <v>9780310493020</v>
      </c>
      <c r="T3855" t="str">
        <f>"9780310493037"</f>
        <v>9780310493037</v>
      </c>
      <c r="U3855" t="b">
        <v>0</v>
      </c>
      <c r="W3855" t="b">
        <v>0</v>
      </c>
    </row>
    <row r="3856" spans="1:23" x14ac:dyDescent="0.3">
      <c r="A3856">
        <v>1524760</v>
      </c>
      <c r="B3856">
        <v>58.62</v>
      </c>
      <c r="C3856" t="s">
        <v>9434</v>
      </c>
      <c r="E3856" t="s">
        <v>23</v>
      </c>
      <c r="F3856" t="s">
        <v>106</v>
      </c>
      <c r="G3856">
        <v>2010</v>
      </c>
      <c r="H3856" t="s">
        <v>5760</v>
      </c>
      <c r="I3856" t="s">
        <v>9435</v>
      </c>
      <c r="J3856" t="s">
        <v>9436</v>
      </c>
      <c r="K3856" t="s">
        <v>25</v>
      </c>
      <c r="L3856" t="s">
        <v>26</v>
      </c>
      <c r="M3856" t="b">
        <v>1</v>
      </c>
      <c r="N3856" t="s">
        <v>8883</v>
      </c>
      <c r="O3856" t="str">
        <f>"261.2"</f>
        <v>261.2</v>
      </c>
      <c r="Q3856" t="b">
        <v>0</v>
      </c>
      <c r="S3856" t="str">
        <f>"9780310443919"</f>
        <v>9780310443919</v>
      </c>
      <c r="T3856" t="str">
        <f>"9780310877127"</f>
        <v>9780310877127</v>
      </c>
      <c r="U3856" t="b">
        <v>0</v>
      </c>
      <c r="V3856" t="s">
        <v>2872</v>
      </c>
      <c r="W3856" t="b">
        <v>0</v>
      </c>
    </row>
    <row r="3857" spans="1:23" x14ac:dyDescent="0.3">
      <c r="A3857">
        <v>1524759</v>
      </c>
      <c r="B3857">
        <v>34.47</v>
      </c>
      <c r="C3857" t="s">
        <v>9437</v>
      </c>
      <c r="D3857" t="s">
        <v>9438</v>
      </c>
      <c r="E3857" t="s">
        <v>23</v>
      </c>
      <c r="F3857" t="s">
        <v>44</v>
      </c>
      <c r="G3857">
        <v>2011</v>
      </c>
      <c r="H3857" t="s">
        <v>71</v>
      </c>
      <c r="I3857" t="s">
        <v>9439</v>
      </c>
      <c r="J3857" t="s">
        <v>9440</v>
      </c>
      <c r="K3857" t="s">
        <v>25</v>
      </c>
      <c r="L3857" t="s">
        <v>30</v>
      </c>
      <c r="M3857" t="b">
        <v>1</v>
      </c>
      <c r="N3857" t="s">
        <v>44</v>
      </c>
      <c r="O3857" t="str">
        <f>"236/.25"</f>
        <v>236/.25</v>
      </c>
      <c r="Q3857" t="b">
        <v>0</v>
      </c>
      <c r="S3857" t="str">
        <f>"9780310494621"</f>
        <v>9780310494621</v>
      </c>
      <c r="T3857" t="str">
        <f>"9780310494638"</f>
        <v>9780310494638</v>
      </c>
      <c r="U3857" t="b">
        <v>0</v>
      </c>
      <c r="W3857" t="b">
        <v>0</v>
      </c>
    </row>
    <row r="3858" spans="1:23" x14ac:dyDescent="0.3">
      <c r="A3858">
        <v>1524757</v>
      </c>
      <c r="B3858">
        <v>93.12</v>
      </c>
      <c r="C3858" t="s">
        <v>9441</v>
      </c>
      <c r="D3858" t="s">
        <v>9442</v>
      </c>
      <c r="E3858" t="s">
        <v>49</v>
      </c>
      <c r="F3858" t="s">
        <v>106</v>
      </c>
      <c r="G3858">
        <v>2013</v>
      </c>
      <c r="H3858" t="s">
        <v>9443</v>
      </c>
      <c r="I3858" t="s">
        <v>9444</v>
      </c>
      <c r="J3858" t="s">
        <v>9445</v>
      </c>
      <c r="K3858" t="s">
        <v>25</v>
      </c>
      <c r="L3858" t="s">
        <v>30</v>
      </c>
      <c r="M3858" t="b">
        <v>1</v>
      </c>
      <c r="N3858" t="s">
        <v>44</v>
      </c>
      <c r="O3858" t="str">
        <f>"289.9"</f>
        <v>289.9</v>
      </c>
      <c r="Q3858" t="b">
        <v>0</v>
      </c>
      <c r="S3858" t="str">
        <f>"9780310330639"</f>
        <v>9780310330639</v>
      </c>
      <c r="T3858" t="str">
        <f>"9780310555667"</f>
        <v>9780310555667</v>
      </c>
      <c r="U3858" t="b">
        <v>0</v>
      </c>
      <c r="W3858" t="b">
        <v>0</v>
      </c>
    </row>
    <row r="3859" spans="1:23" x14ac:dyDescent="0.3">
      <c r="A3859">
        <v>1524754</v>
      </c>
      <c r="B3859">
        <v>96.57</v>
      </c>
      <c r="C3859" t="s">
        <v>9446</v>
      </c>
      <c r="D3859" t="s">
        <v>9447</v>
      </c>
      <c r="E3859" t="s">
        <v>49</v>
      </c>
      <c r="F3859" t="s">
        <v>106</v>
      </c>
      <c r="G3859">
        <v>2010</v>
      </c>
      <c r="H3859" t="s">
        <v>179</v>
      </c>
      <c r="I3859" t="s">
        <v>9448</v>
      </c>
      <c r="J3859" t="s">
        <v>7850</v>
      </c>
      <c r="K3859" t="s">
        <v>25</v>
      </c>
      <c r="L3859" t="s">
        <v>26</v>
      </c>
      <c r="M3859" t="b">
        <v>1</v>
      </c>
      <c r="N3859" t="s">
        <v>8593</v>
      </c>
      <c r="O3859" t="str">
        <f>"224/.06"</f>
        <v>224/.06</v>
      </c>
      <c r="Q3859" t="b">
        <v>0</v>
      </c>
      <c r="S3859" t="str">
        <f>"9780310211389"</f>
        <v>9780310211389</v>
      </c>
      <c r="T3859" t="str">
        <f>"9780310872788"</f>
        <v>9780310872788</v>
      </c>
      <c r="U3859" t="b">
        <v>0</v>
      </c>
      <c r="W3859" t="b">
        <v>0</v>
      </c>
    </row>
    <row r="3860" spans="1:23" x14ac:dyDescent="0.3">
      <c r="A3860">
        <v>1524753</v>
      </c>
      <c r="B3860">
        <v>65.52</v>
      </c>
      <c r="C3860" t="s">
        <v>9449</v>
      </c>
      <c r="D3860" t="s">
        <v>9450</v>
      </c>
      <c r="E3860" t="s">
        <v>49</v>
      </c>
      <c r="F3860" t="s">
        <v>106</v>
      </c>
      <c r="G3860">
        <v>2010</v>
      </c>
      <c r="H3860" t="s">
        <v>70</v>
      </c>
      <c r="I3860" t="s">
        <v>9451</v>
      </c>
      <c r="J3860" t="s">
        <v>1309</v>
      </c>
      <c r="K3860" t="s">
        <v>25</v>
      </c>
      <c r="L3860" t="s">
        <v>30</v>
      </c>
      <c r="M3860" t="b">
        <v>1</v>
      </c>
      <c r="N3860" t="s">
        <v>116</v>
      </c>
      <c r="O3860" t="str">
        <f>"239"</f>
        <v>239</v>
      </c>
      <c r="Q3860" t="b">
        <v>0</v>
      </c>
      <c r="S3860" t="str">
        <f>"9780310590910"</f>
        <v>9780310590910</v>
      </c>
      <c r="T3860" t="str">
        <f>"9780310877271"</f>
        <v>9780310877271</v>
      </c>
      <c r="U3860" t="b">
        <v>0</v>
      </c>
      <c r="V3860" t="s">
        <v>6095</v>
      </c>
      <c r="W3860" t="b">
        <v>0</v>
      </c>
    </row>
    <row r="3861" spans="1:23" x14ac:dyDescent="0.3">
      <c r="A3861">
        <v>1524752</v>
      </c>
      <c r="B3861">
        <v>198.96</v>
      </c>
      <c r="C3861" t="s">
        <v>9452</v>
      </c>
      <c r="E3861" t="s">
        <v>49</v>
      </c>
      <c r="F3861" t="s">
        <v>106</v>
      </c>
      <c r="G3861">
        <v>2010</v>
      </c>
      <c r="H3861" t="s">
        <v>71</v>
      </c>
      <c r="I3861" t="s">
        <v>9453</v>
      </c>
      <c r="J3861" t="s">
        <v>9454</v>
      </c>
      <c r="K3861" t="s">
        <v>25</v>
      </c>
      <c r="L3861" t="s">
        <v>30</v>
      </c>
      <c r="M3861" t="b">
        <v>1</v>
      </c>
      <c r="N3861" t="s">
        <v>9455</v>
      </c>
      <c r="O3861" t="str">
        <f>"230"</f>
        <v>230</v>
      </c>
      <c r="Q3861" t="b">
        <v>0</v>
      </c>
      <c r="S3861" t="str">
        <f>"9780310209157"</f>
        <v>9780310209157</v>
      </c>
      <c r="T3861" t="str">
        <f>"9780310872764"</f>
        <v>9780310872764</v>
      </c>
      <c r="U3861" t="b">
        <v>0</v>
      </c>
      <c r="V3861" t="s">
        <v>6095</v>
      </c>
      <c r="W3861" t="b">
        <v>0</v>
      </c>
    </row>
    <row r="3862" spans="1:23" x14ac:dyDescent="0.3">
      <c r="A3862">
        <v>1524751</v>
      </c>
      <c r="B3862">
        <v>44.82</v>
      </c>
      <c r="C3862" t="s">
        <v>9456</v>
      </c>
      <c r="D3862" t="s">
        <v>9457</v>
      </c>
      <c r="E3862" t="s">
        <v>23</v>
      </c>
      <c r="F3862" t="s">
        <v>44</v>
      </c>
      <c r="G3862">
        <v>1993</v>
      </c>
      <c r="H3862" t="s">
        <v>756</v>
      </c>
      <c r="I3862" t="s">
        <v>8291</v>
      </c>
      <c r="J3862" t="s">
        <v>9458</v>
      </c>
      <c r="K3862" t="s">
        <v>25</v>
      </c>
      <c r="L3862" t="s">
        <v>30</v>
      </c>
      <c r="M3862" t="b">
        <v>1</v>
      </c>
      <c r="N3862" t="s">
        <v>915</v>
      </c>
      <c r="O3862" t="str">
        <f>"269/.2"</f>
        <v>269/.2</v>
      </c>
      <c r="Q3862" t="b">
        <v>0</v>
      </c>
      <c r="S3862" t="str">
        <f>"9780310375616"</f>
        <v>9780310375616</v>
      </c>
      <c r="T3862" t="str">
        <f>"9780310872757"</f>
        <v>9780310872757</v>
      </c>
      <c r="U3862" t="b">
        <v>0</v>
      </c>
      <c r="W3862" t="b">
        <v>0</v>
      </c>
    </row>
    <row r="3863" spans="1:23" x14ac:dyDescent="0.3">
      <c r="A3863">
        <v>1524750</v>
      </c>
      <c r="B3863">
        <v>46.16</v>
      </c>
      <c r="C3863" t="s">
        <v>9459</v>
      </c>
      <c r="D3863" t="s">
        <v>9460</v>
      </c>
      <c r="E3863" t="s">
        <v>49</v>
      </c>
      <c r="F3863" t="s">
        <v>44</v>
      </c>
      <c r="G3863">
        <v>2013</v>
      </c>
      <c r="H3863" t="s">
        <v>804</v>
      </c>
      <c r="I3863" t="s">
        <v>7794</v>
      </c>
      <c r="J3863" t="s">
        <v>6483</v>
      </c>
      <c r="K3863" t="s">
        <v>25</v>
      </c>
      <c r="L3863" t="s">
        <v>30</v>
      </c>
      <c r="M3863" t="b">
        <v>1</v>
      </c>
      <c r="N3863" t="s">
        <v>6415</v>
      </c>
      <c r="O3863" t="str">
        <f>"658.4063"</f>
        <v>658.4063</v>
      </c>
      <c r="P3863" t="s">
        <v>4756</v>
      </c>
      <c r="Q3863" t="b">
        <v>0</v>
      </c>
      <c r="S3863" t="str">
        <f>"9780310494508"</f>
        <v>9780310494508</v>
      </c>
      <c r="T3863" t="str">
        <f>"9780310494522"</f>
        <v>9780310494522</v>
      </c>
      <c r="U3863" t="b">
        <v>0</v>
      </c>
      <c r="W3863" t="b">
        <v>0</v>
      </c>
    </row>
    <row r="3864" spans="1:23" x14ac:dyDescent="0.3">
      <c r="A3864">
        <v>1524749</v>
      </c>
      <c r="B3864">
        <v>35.5</v>
      </c>
      <c r="C3864" t="s">
        <v>9461</v>
      </c>
      <c r="D3864" t="s">
        <v>9462</v>
      </c>
      <c r="E3864" t="s">
        <v>49</v>
      </c>
      <c r="F3864" t="s">
        <v>106</v>
      </c>
      <c r="G3864">
        <v>2009</v>
      </c>
      <c r="H3864" t="s">
        <v>881</v>
      </c>
      <c r="K3864" t="s">
        <v>25</v>
      </c>
      <c r="L3864" t="s">
        <v>30</v>
      </c>
      <c r="M3864" t="b">
        <v>1</v>
      </c>
      <c r="N3864" t="s">
        <v>6480</v>
      </c>
      <c r="P3864" t="s">
        <v>7630</v>
      </c>
      <c r="Q3864" t="b">
        <v>0</v>
      </c>
      <c r="S3864" t="str">
        <f>"9780310255949"</f>
        <v>9780310255949</v>
      </c>
      <c r="T3864" t="str">
        <f>"9780310866343"</f>
        <v>9780310866343</v>
      </c>
      <c r="U3864" t="b">
        <v>0</v>
      </c>
      <c r="W3864" t="b">
        <v>0</v>
      </c>
    </row>
    <row r="3865" spans="1:23" x14ac:dyDescent="0.3">
      <c r="A3865">
        <v>1524748</v>
      </c>
      <c r="B3865">
        <v>51.72</v>
      </c>
      <c r="C3865" t="s">
        <v>9463</v>
      </c>
      <c r="D3865" t="s">
        <v>9464</v>
      </c>
      <c r="E3865" t="s">
        <v>49</v>
      </c>
      <c r="F3865" t="s">
        <v>44</v>
      </c>
      <c r="G3865">
        <v>2014</v>
      </c>
      <c r="H3865" t="s">
        <v>55</v>
      </c>
      <c r="K3865" t="s">
        <v>25</v>
      </c>
      <c r="L3865" t="s">
        <v>30</v>
      </c>
      <c r="M3865" t="b">
        <v>1</v>
      </c>
      <c r="N3865" t="s">
        <v>9465</v>
      </c>
      <c r="Q3865" t="b">
        <v>0</v>
      </c>
      <c r="S3865" t="str">
        <f>"9780310516521"</f>
        <v>9780310516521</v>
      </c>
      <c r="T3865" t="str">
        <f>"9780310516538"</f>
        <v>9780310516538</v>
      </c>
      <c r="U3865" t="b">
        <v>0</v>
      </c>
      <c r="W3865" t="b">
        <v>0</v>
      </c>
    </row>
    <row r="3866" spans="1:23" x14ac:dyDescent="0.3">
      <c r="A3866">
        <v>1524747</v>
      </c>
      <c r="B3866">
        <v>86.22</v>
      </c>
      <c r="C3866" t="s">
        <v>9466</v>
      </c>
      <c r="D3866" t="s">
        <v>9467</v>
      </c>
      <c r="E3866" t="s">
        <v>49</v>
      </c>
      <c r="F3866" t="s">
        <v>106</v>
      </c>
      <c r="G3866">
        <v>2015</v>
      </c>
      <c r="H3866" t="s">
        <v>76</v>
      </c>
      <c r="I3866" t="s">
        <v>9468</v>
      </c>
      <c r="J3866" t="s">
        <v>9469</v>
      </c>
      <c r="K3866" t="s">
        <v>25</v>
      </c>
      <c r="L3866" t="s">
        <v>26</v>
      </c>
      <c r="M3866" t="b">
        <v>1</v>
      </c>
      <c r="N3866" t="s">
        <v>9470</v>
      </c>
      <c r="O3866" t="str">
        <f>"220.092"</f>
        <v>220.092</v>
      </c>
      <c r="Q3866" t="b">
        <v>0</v>
      </c>
      <c r="S3866" t="str">
        <f>"9780310515166"</f>
        <v>9780310515166</v>
      </c>
      <c r="T3866" t="str">
        <f>"9780310515159"</f>
        <v>9780310515159</v>
      </c>
      <c r="U3866" t="b">
        <v>0</v>
      </c>
      <c r="W3866" t="b">
        <v>0</v>
      </c>
    </row>
    <row r="3867" spans="1:23" x14ac:dyDescent="0.3">
      <c r="A3867">
        <v>1524746</v>
      </c>
      <c r="B3867">
        <v>53.27</v>
      </c>
      <c r="C3867" t="s">
        <v>9471</v>
      </c>
      <c r="D3867" t="s">
        <v>9472</v>
      </c>
      <c r="E3867" t="s">
        <v>49</v>
      </c>
      <c r="F3867" t="s">
        <v>44</v>
      </c>
      <c r="G3867">
        <v>2011</v>
      </c>
      <c r="H3867" t="s">
        <v>60</v>
      </c>
      <c r="I3867" t="s">
        <v>9473</v>
      </c>
      <c r="J3867" t="s">
        <v>9474</v>
      </c>
      <c r="K3867" t="s">
        <v>25</v>
      </c>
      <c r="L3867" t="s">
        <v>26</v>
      </c>
      <c r="M3867" t="b">
        <v>1</v>
      </c>
      <c r="N3867" t="s">
        <v>1041</v>
      </c>
      <c r="O3867" t="str">
        <f>"241/.4"</f>
        <v>241/.4</v>
      </c>
      <c r="Q3867" t="b">
        <v>0</v>
      </c>
      <c r="S3867" t="str">
        <f>"9780310328629"</f>
        <v>9780310328629</v>
      </c>
      <c r="T3867" t="str">
        <f>"9780310572008"</f>
        <v>9780310572008</v>
      </c>
      <c r="U3867" t="b">
        <v>0</v>
      </c>
      <c r="W3867" t="b">
        <v>0</v>
      </c>
    </row>
    <row r="3868" spans="1:23" x14ac:dyDescent="0.3">
      <c r="A3868">
        <v>1524745</v>
      </c>
      <c r="B3868">
        <v>65.52</v>
      </c>
      <c r="C3868" t="s">
        <v>9475</v>
      </c>
      <c r="D3868" t="s">
        <v>9476</v>
      </c>
      <c r="E3868" t="s">
        <v>49</v>
      </c>
      <c r="F3868" t="s">
        <v>106</v>
      </c>
      <c r="G3868">
        <v>2012</v>
      </c>
      <c r="H3868" t="s">
        <v>55</v>
      </c>
      <c r="I3868" t="s">
        <v>9199</v>
      </c>
      <c r="J3868" t="s">
        <v>895</v>
      </c>
      <c r="K3868" t="s">
        <v>25</v>
      </c>
      <c r="L3868" t="s">
        <v>30</v>
      </c>
      <c r="M3868" t="b">
        <v>1</v>
      </c>
      <c r="N3868" t="s">
        <v>9477</v>
      </c>
      <c r="O3868" t="str">
        <f>"220.6/1"</f>
        <v>220.6/1</v>
      </c>
      <c r="Q3868" t="b">
        <v>0</v>
      </c>
      <c r="S3868" t="str">
        <f>"9780310331650"</f>
        <v>9780310331650</v>
      </c>
      <c r="T3868" t="str">
        <f>"9780310429647"</f>
        <v>9780310429647</v>
      </c>
      <c r="U3868" t="b">
        <v>0</v>
      </c>
      <c r="W3868" t="b">
        <v>0</v>
      </c>
    </row>
    <row r="3869" spans="1:23" x14ac:dyDescent="0.3">
      <c r="A3869">
        <v>1524744</v>
      </c>
      <c r="B3869">
        <v>44.82</v>
      </c>
      <c r="C3869" t="s">
        <v>9478</v>
      </c>
      <c r="D3869" t="s">
        <v>9479</v>
      </c>
      <c r="E3869" t="s">
        <v>49</v>
      </c>
      <c r="F3869" t="s">
        <v>44</v>
      </c>
      <c r="G3869">
        <v>2010</v>
      </c>
      <c r="H3869" t="s">
        <v>52</v>
      </c>
      <c r="I3869" t="s">
        <v>9480</v>
      </c>
      <c r="J3869" t="s">
        <v>9481</v>
      </c>
      <c r="K3869" t="s">
        <v>25</v>
      </c>
      <c r="L3869" t="s">
        <v>30</v>
      </c>
      <c r="M3869" t="b">
        <v>1</v>
      </c>
      <c r="N3869" t="s">
        <v>7983</v>
      </c>
      <c r="O3869" t="str">
        <f>"253.5"</f>
        <v>253.5</v>
      </c>
      <c r="P3869" t="s">
        <v>9099</v>
      </c>
      <c r="Q3869" t="b">
        <v>0</v>
      </c>
      <c r="S3869" t="str">
        <f>"9780310511816"</f>
        <v>9780310511816</v>
      </c>
      <c r="T3869" t="str">
        <f>"9780310877066"</f>
        <v>9780310877066</v>
      </c>
      <c r="U3869" t="b">
        <v>0</v>
      </c>
      <c r="V3869" t="s">
        <v>6095</v>
      </c>
      <c r="W3869" t="b">
        <v>0</v>
      </c>
    </row>
    <row r="3870" spans="1:23" x14ac:dyDescent="0.3">
      <c r="A3870">
        <v>1524743</v>
      </c>
      <c r="B3870">
        <v>51.72</v>
      </c>
      <c r="C3870" t="s">
        <v>9482</v>
      </c>
      <c r="D3870" t="s">
        <v>9483</v>
      </c>
      <c r="E3870" t="s">
        <v>49</v>
      </c>
      <c r="F3870" t="s">
        <v>106</v>
      </c>
      <c r="G3870">
        <v>2009</v>
      </c>
      <c r="H3870" t="s">
        <v>179</v>
      </c>
      <c r="I3870" t="s">
        <v>9484</v>
      </c>
      <c r="K3870" t="s">
        <v>25</v>
      </c>
      <c r="L3870" t="s">
        <v>26</v>
      </c>
      <c r="M3870" t="b">
        <v>1</v>
      </c>
      <c r="N3870" t="s">
        <v>9485</v>
      </c>
      <c r="O3870" t="str">
        <f>"220.5"</f>
        <v>220.5</v>
      </c>
      <c r="Q3870" t="b">
        <v>0</v>
      </c>
      <c r="S3870" t="str">
        <f>"9780310278764"</f>
        <v>9780310278764</v>
      </c>
      <c r="T3870" t="str">
        <f>"9780310539230"</f>
        <v>9780310539230</v>
      </c>
      <c r="U3870" t="b">
        <v>0</v>
      </c>
      <c r="V3870" t="s">
        <v>6095</v>
      </c>
      <c r="W3870" t="b">
        <v>0</v>
      </c>
    </row>
    <row r="3871" spans="1:23" x14ac:dyDescent="0.3">
      <c r="A3871">
        <v>1524741</v>
      </c>
      <c r="B3871">
        <v>65.52</v>
      </c>
      <c r="C3871" t="s">
        <v>9486</v>
      </c>
      <c r="D3871" t="s">
        <v>9487</v>
      </c>
      <c r="E3871" t="s">
        <v>49</v>
      </c>
      <c r="F3871" t="s">
        <v>106</v>
      </c>
      <c r="G3871">
        <v>2014</v>
      </c>
      <c r="H3871" t="s">
        <v>880</v>
      </c>
      <c r="I3871" t="s">
        <v>9488</v>
      </c>
      <c r="K3871" t="s">
        <v>25</v>
      </c>
      <c r="L3871" t="s">
        <v>26</v>
      </c>
      <c r="M3871" t="b">
        <v>1</v>
      </c>
      <c r="N3871" t="s">
        <v>9489</v>
      </c>
      <c r="O3871" t="str">
        <f>"232"</f>
        <v>232</v>
      </c>
      <c r="Q3871" t="b">
        <v>0</v>
      </c>
      <c r="S3871" t="str">
        <f>"9780310519591"</f>
        <v>9780310519591</v>
      </c>
      <c r="T3871" t="str">
        <f>"9780310519614"</f>
        <v>9780310519614</v>
      </c>
      <c r="U3871" t="b">
        <v>0</v>
      </c>
      <c r="W3871" t="b">
        <v>0</v>
      </c>
    </row>
    <row r="3872" spans="1:23" x14ac:dyDescent="0.3">
      <c r="A3872">
        <v>1524740</v>
      </c>
      <c r="B3872">
        <v>137.97</v>
      </c>
      <c r="C3872" t="s">
        <v>8523</v>
      </c>
      <c r="E3872" t="s">
        <v>49</v>
      </c>
      <c r="F3872" t="s">
        <v>106</v>
      </c>
      <c r="G3872">
        <v>2001</v>
      </c>
      <c r="H3872" t="s">
        <v>927</v>
      </c>
      <c r="I3872" t="s">
        <v>9490</v>
      </c>
      <c r="K3872" t="s">
        <v>25</v>
      </c>
      <c r="L3872" t="s">
        <v>30</v>
      </c>
      <c r="M3872" t="b">
        <v>1</v>
      </c>
      <c r="N3872" t="s">
        <v>9491</v>
      </c>
      <c r="O3872" t="str">
        <f>"224/.077"</f>
        <v>224/.077</v>
      </c>
      <c r="P3872" t="s">
        <v>9343</v>
      </c>
      <c r="Q3872" t="b">
        <v>0</v>
      </c>
      <c r="S3872" t="str">
        <f>"9780310206149"</f>
        <v>9780310206149</v>
      </c>
      <c r="T3872" t="str">
        <f>"9780310872672"</f>
        <v>9780310872672</v>
      </c>
      <c r="U3872" t="b">
        <v>0</v>
      </c>
      <c r="W3872" t="b">
        <v>0</v>
      </c>
    </row>
    <row r="3873" spans="1:23" x14ac:dyDescent="0.3">
      <c r="A3873">
        <v>1524739</v>
      </c>
      <c r="B3873">
        <v>68.97</v>
      </c>
      <c r="C3873" t="s">
        <v>9492</v>
      </c>
      <c r="D3873" t="s">
        <v>9493</v>
      </c>
      <c r="E3873" t="s">
        <v>49</v>
      </c>
      <c r="F3873" t="s">
        <v>106</v>
      </c>
      <c r="G3873">
        <v>2009</v>
      </c>
      <c r="H3873" t="s">
        <v>71</v>
      </c>
      <c r="I3873" t="s">
        <v>9494</v>
      </c>
      <c r="J3873" t="s">
        <v>9440</v>
      </c>
      <c r="K3873" t="s">
        <v>25</v>
      </c>
      <c r="L3873" t="s">
        <v>30</v>
      </c>
      <c r="M3873" t="b">
        <v>1</v>
      </c>
      <c r="N3873" t="s">
        <v>44</v>
      </c>
      <c r="O3873" t="str">
        <f>"236/.25"</f>
        <v>236/.25</v>
      </c>
      <c r="Q3873" t="b">
        <v>0</v>
      </c>
      <c r="S3873" t="str">
        <f>"9780310240419"</f>
        <v>9780310240419</v>
      </c>
      <c r="T3873" t="str">
        <f>"9780310831280"</f>
        <v>9780310831280</v>
      </c>
      <c r="U3873" t="b">
        <v>0</v>
      </c>
      <c r="W3873" t="b">
        <v>0</v>
      </c>
    </row>
    <row r="3874" spans="1:23" x14ac:dyDescent="0.3">
      <c r="A3874">
        <v>1524738</v>
      </c>
      <c r="B3874">
        <v>44.82</v>
      </c>
      <c r="C3874" t="s">
        <v>8514</v>
      </c>
      <c r="E3874" t="s">
        <v>49</v>
      </c>
      <c r="F3874" t="s">
        <v>106</v>
      </c>
      <c r="G3874">
        <v>2002</v>
      </c>
      <c r="H3874" t="s">
        <v>6799</v>
      </c>
      <c r="I3874" t="s">
        <v>8478</v>
      </c>
      <c r="K3874" t="s">
        <v>25</v>
      </c>
      <c r="L3874" t="s">
        <v>30</v>
      </c>
      <c r="M3874" t="b">
        <v>1</v>
      </c>
      <c r="N3874" t="s">
        <v>9495</v>
      </c>
      <c r="O3874" t="str">
        <f>"228/.07"</f>
        <v>228/.07</v>
      </c>
      <c r="P3874" t="s">
        <v>6606</v>
      </c>
      <c r="Q3874" t="b">
        <v>0</v>
      </c>
      <c r="S3874" t="str">
        <f>"9780310523079"</f>
        <v>9780310523079</v>
      </c>
      <c r="T3874" t="str">
        <f>"9780310530244"</f>
        <v>9780310530244</v>
      </c>
      <c r="U3874" t="b">
        <v>0</v>
      </c>
      <c r="W3874" t="b">
        <v>0</v>
      </c>
    </row>
    <row r="3875" spans="1:23" x14ac:dyDescent="0.3">
      <c r="A3875">
        <v>1524737</v>
      </c>
      <c r="B3875">
        <v>56.82</v>
      </c>
      <c r="C3875" t="s">
        <v>133</v>
      </c>
      <c r="E3875" t="s">
        <v>49</v>
      </c>
      <c r="F3875" t="s">
        <v>106</v>
      </c>
      <c r="G3875">
        <v>2006</v>
      </c>
      <c r="H3875" t="s">
        <v>6370</v>
      </c>
      <c r="I3875" t="s">
        <v>9496</v>
      </c>
      <c r="K3875" t="s">
        <v>25</v>
      </c>
      <c r="L3875" t="s">
        <v>30</v>
      </c>
      <c r="M3875" t="b">
        <v>1</v>
      </c>
      <c r="N3875" t="s">
        <v>9497</v>
      </c>
      <c r="O3875" t="str">
        <f>"228/.07"</f>
        <v>228/.07</v>
      </c>
      <c r="P3875" t="s">
        <v>9498</v>
      </c>
      <c r="Q3875" t="b">
        <v>0</v>
      </c>
      <c r="S3875" t="str">
        <f>"9780310268949"</f>
        <v>9780310268949</v>
      </c>
      <c r="T3875" t="str">
        <f>"9780310532101"</f>
        <v>9780310532101</v>
      </c>
      <c r="U3875" t="b">
        <v>0</v>
      </c>
      <c r="V3875" t="s">
        <v>2316</v>
      </c>
      <c r="W3875" t="b">
        <v>0</v>
      </c>
    </row>
    <row r="3876" spans="1:23" x14ac:dyDescent="0.3">
      <c r="A3876">
        <v>1524736</v>
      </c>
      <c r="B3876">
        <v>85.25</v>
      </c>
      <c r="C3876" t="s">
        <v>5761</v>
      </c>
      <c r="E3876" t="s">
        <v>49</v>
      </c>
      <c r="F3876" t="s">
        <v>106</v>
      </c>
      <c r="G3876">
        <v>1998</v>
      </c>
      <c r="H3876" t="s">
        <v>98</v>
      </c>
      <c r="I3876" t="s">
        <v>8515</v>
      </c>
      <c r="K3876" t="s">
        <v>25</v>
      </c>
      <c r="L3876" t="s">
        <v>26</v>
      </c>
      <c r="M3876" t="b">
        <v>1</v>
      </c>
      <c r="N3876" t="s">
        <v>8516</v>
      </c>
      <c r="O3876" t="str">
        <f>"227/.87077"</f>
        <v>227/.87077</v>
      </c>
      <c r="P3876" t="s">
        <v>6300</v>
      </c>
      <c r="Q3876" t="b">
        <v>0</v>
      </c>
      <c r="S3876" t="str">
        <f>"9780310493907"</f>
        <v>9780310493907</v>
      </c>
      <c r="T3876" t="str">
        <f>"9780310866251"</f>
        <v>9780310866251</v>
      </c>
      <c r="U3876" t="b">
        <v>0</v>
      </c>
      <c r="W3876" t="b">
        <v>0</v>
      </c>
    </row>
    <row r="3877" spans="1:23" x14ac:dyDescent="0.3">
      <c r="A3877">
        <v>1524735</v>
      </c>
      <c r="B3877">
        <v>27.57</v>
      </c>
      <c r="C3877" t="s">
        <v>9499</v>
      </c>
      <c r="D3877" t="s">
        <v>9500</v>
      </c>
      <c r="E3877" t="s">
        <v>49</v>
      </c>
      <c r="F3877" t="s">
        <v>44</v>
      </c>
      <c r="G3877">
        <v>2014</v>
      </c>
      <c r="H3877" t="s">
        <v>804</v>
      </c>
      <c r="I3877" t="s">
        <v>6909</v>
      </c>
      <c r="J3877" t="s">
        <v>895</v>
      </c>
      <c r="K3877" t="s">
        <v>25</v>
      </c>
      <c r="L3877" t="s">
        <v>30</v>
      </c>
      <c r="M3877" t="b">
        <v>1</v>
      </c>
      <c r="N3877" t="s">
        <v>1041</v>
      </c>
      <c r="O3877" t="str">
        <f>"262.14"</f>
        <v>262.14</v>
      </c>
      <c r="Q3877" t="b">
        <v>0</v>
      </c>
      <c r="S3877" t="str">
        <f>"9780310519270"</f>
        <v>9780310519270</v>
      </c>
      <c r="T3877" t="str">
        <f>"9780310492665"</f>
        <v>9780310492665</v>
      </c>
      <c r="U3877" t="b">
        <v>0</v>
      </c>
      <c r="W3877" t="b">
        <v>0</v>
      </c>
    </row>
    <row r="3878" spans="1:23" x14ac:dyDescent="0.3">
      <c r="A3878">
        <v>1524733</v>
      </c>
      <c r="B3878">
        <v>53.27</v>
      </c>
      <c r="C3878" t="s">
        <v>9501</v>
      </c>
      <c r="D3878" t="s">
        <v>9502</v>
      </c>
      <c r="E3878" t="s">
        <v>49</v>
      </c>
      <c r="F3878" t="s">
        <v>44</v>
      </c>
      <c r="G3878">
        <v>2010</v>
      </c>
      <c r="H3878" t="s">
        <v>76</v>
      </c>
      <c r="I3878" t="s">
        <v>9503</v>
      </c>
      <c r="J3878" t="s">
        <v>9504</v>
      </c>
      <c r="K3878" t="s">
        <v>25</v>
      </c>
      <c r="L3878" t="s">
        <v>30</v>
      </c>
      <c r="M3878" t="b">
        <v>1</v>
      </c>
      <c r="N3878" t="s">
        <v>5754</v>
      </c>
      <c r="O3878" t="str">
        <f>"270.8/3082"</f>
        <v>270.8/3082</v>
      </c>
      <c r="Q3878" t="b">
        <v>0</v>
      </c>
      <c r="S3878" t="str">
        <f>"9780310325567"</f>
        <v>9780310325567</v>
      </c>
      <c r="T3878" t="str">
        <f>"9780310555872"</f>
        <v>9780310555872</v>
      </c>
      <c r="U3878" t="b">
        <v>0</v>
      </c>
      <c r="W3878" t="b">
        <v>0</v>
      </c>
    </row>
    <row r="3879" spans="1:23" x14ac:dyDescent="0.3">
      <c r="A3879">
        <v>1524732</v>
      </c>
      <c r="B3879">
        <v>65.52</v>
      </c>
      <c r="C3879" t="s">
        <v>9505</v>
      </c>
      <c r="D3879" t="s">
        <v>9506</v>
      </c>
      <c r="E3879" t="s">
        <v>49</v>
      </c>
      <c r="F3879" t="s">
        <v>44</v>
      </c>
      <c r="G3879">
        <v>2014</v>
      </c>
      <c r="H3879" t="s">
        <v>52</v>
      </c>
      <c r="I3879" t="s">
        <v>6884</v>
      </c>
      <c r="J3879" t="s">
        <v>9507</v>
      </c>
      <c r="K3879" t="s">
        <v>25</v>
      </c>
      <c r="L3879" t="s">
        <v>26</v>
      </c>
      <c r="M3879" t="b">
        <v>1</v>
      </c>
      <c r="N3879" t="s">
        <v>9508</v>
      </c>
      <c r="O3879" t="str">
        <f>"253.5"</f>
        <v>253.5</v>
      </c>
      <c r="P3879" t="s">
        <v>9509</v>
      </c>
      <c r="Q3879" t="b">
        <v>0</v>
      </c>
      <c r="S3879" t="str">
        <f>"9780310516132"</f>
        <v>9780310516132</v>
      </c>
      <c r="T3879" t="str">
        <f>"9780310516149"</f>
        <v>9780310516149</v>
      </c>
      <c r="U3879" t="b">
        <v>0</v>
      </c>
      <c r="W3879" t="b">
        <v>0</v>
      </c>
    </row>
    <row r="3880" spans="1:23" x14ac:dyDescent="0.3">
      <c r="A3880">
        <v>1524731</v>
      </c>
      <c r="B3880">
        <v>65.52</v>
      </c>
      <c r="C3880" t="s">
        <v>9510</v>
      </c>
      <c r="D3880" t="s">
        <v>9511</v>
      </c>
      <c r="E3880" t="s">
        <v>49</v>
      </c>
      <c r="F3880" t="s">
        <v>44</v>
      </c>
      <c r="G3880">
        <v>2015</v>
      </c>
      <c r="H3880" t="s">
        <v>52</v>
      </c>
      <c r="I3880" t="s">
        <v>6884</v>
      </c>
      <c r="J3880" t="s">
        <v>9507</v>
      </c>
      <c r="K3880" t="s">
        <v>25</v>
      </c>
      <c r="L3880" t="s">
        <v>26</v>
      </c>
      <c r="M3880" t="b">
        <v>1</v>
      </c>
      <c r="N3880" t="s">
        <v>9508</v>
      </c>
      <c r="O3880" t="str">
        <f>"253.5"</f>
        <v>253.5</v>
      </c>
      <c r="P3880" t="s">
        <v>9509</v>
      </c>
      <c r="Q3880" t="b">
        <v>0</v>
      </c>
      <c r="S3880" t="str">
        <f>"9780310516156"</f>
        <v>9780310516156</v>
      </c>
      <c r="T3880" t="str">
        <f>"9780310516163"</f>
        <v>9780310516163</v>
      </c>
      <c r="U3880" t="b">
        <v>0</v>
      </c>
      <c r="W3880" t="b">
        <v>0</v>
      </c>
    </row>
    <row r="3881" spans="1:23" x14ac:dyDescent="0.3">
      <c r="A3881">
        <v>1524730</v>
      </c>
      <c r="B3881">
        <v>58.62</v>
      </c>
      <c r="C3881" t="s">
        <v>9512</v>
      </c>
      <c r="D3881" t="s">
        <v>7773</v>
      </c>
      <c r="E3881" t="s">
        <v>49</v>
      </c>
      <c r="F3881" t="s">
        <v>106</v>
      </c>
      <c r="G3881">
        <v>2015</v>
      </c>
      <c r="H3881" t="s">
        <v>6490</v>
      </c>
      <c r="I3881" t="s">
        <v>9513</v>
      </c>
      <c r="J3881" t="s">
        <v>9514</v>
      </c>
      <c r="K3881" t="s">
        <v>25</v>
      </c>
      <c r="L3881" t="s">
        <v>26</v>
      </c>
      <c r="M3881" t="b">
        <v>1</v>
      </c>
      <c r="N3881" t="s">
        <v>6443</v>
      </c>
      <c r="O3881" t="str">
        <f>"231"</f>
        <v>231</v>
      </c>
      <c r="Q3881" t="b">
        <v>0</v>
      </c>
      <c r="S3881" t="str">
        <f>"9780310515807"</f>
        <v>9780310515807</v>
      </c>
      <c r="T3881" t="str">
        <f>"9780310515821"</f>
        <v>9780310515821</v>
      </c>
      <c r="U3881" t="b">
        <v>0</v>
      </c>
      <c r="W3881" t="b">
        <v>0</v>
      </c>
    </row>
    <row r="3882" spans="1:23" x14ac:dyDescent="0.3">
      <c r="A3882">
        <v>1524729</v>
      </c>
      <c r="B3882">
        <v>35.97</v>
      </c>
      <c r="C3882" t="s">
        <v>9515</v>
      </c>
      <c r="E3882" t="s">
        <v>23</v>
      </c>
      <c r="F3882" t="s">
        <v>44</v>
      </c>
      <c r="G3882">
        <v>2012</v>
      </c>
      <c r="H3882" t="s">
        <v>1234</v>
      </c>
      <c r="K3882" t="s">
        <v>25</v>
      </c>
      <c r="L3882" t="s">
        <v>30</v>
      </c>
      <c r="M3882" t="b">
        <v>1</v>
      </c>
      <c r="N3882" t="s">
        <v>9516</v>
      </c>
      <c r="Q3882" t="b">
        <v>0</v>
      </c>
      <c r="S3882" t="str">
        <f>"9789966003225"</f>
        <v>9789966003225</v>
      </c>
      <c r="T3882" t="str">
        <f>"9780310499336"</f>
        <v>9780310499336</v>
      </c>
      <c r="U3882" t="b">
        <v>0</v>
      </c>
      <c r="W3882" t="b">
        <v>0</v>
      </c>
    </row>
    <row r="3883" spans="1:23" x14ac:dyDescent="0.3">
      <c r="A3883">
        <v>1524728</v>
      </c>
      <c r="B3883">
        <v>75.87</v>
      </c>
      <c r="C3883" t="s">
        <v>9517</v>
      </c>
      <c r="D3883" t="s">
        <v>9518</v>
      </c>
      <c r="E3883" t="s">
        <v>49</v>
      </c>
      <c r="F3883" t="s">
        <v>106</v>
      </c>
      <c r="G3883">
        <v>2009</v>
      </c>
      <c r="H3883" t="s">
        <v>71</v>
      </c>
      <c r="I3883" t="s">
        <v>9519</v>
      </c>
      <c r="J3883" t="s">
        <v>7675</v>
      </c>
      <c r="K3883" t="s">
        <v>25</v>
      </c>
      <c r="L3883" t="s">
        <v>30</v>
      </c>
      <c r="M3883" t="b">
        <v>1</v>
      </c>
      <c r="N3883" t="s">
        <v>44</v>
      </c>
      <c r="O3883" t="str">
        <f>"231"</f>
        <v>231</v>
      </c>
      <c r="Q3883" t="b">
        <v>0</v>
      </c>
      <c r="S3883" t="str">
        <f>"9780310232698"</f>
        <v>9780310232698</v>
      </c>
      <c r="T3883" t="str">
        <f>"9780310830924"</f>
        <v>9780310830924</v>
      </c>
      <c r="U3883" t="b">
        <v>0</v>
      </c>
      <c r="W3883" t="b">
        <v>0</v>
      </c>
    </row>
    <row r="3884" spans="1:23" x14ac:dyDescent="0.3">
      <c r="A3884">
        <v>1524727</v>
      </c>
      <c r="B3884">
        <v>56.82</v>
      </c>
      <c r="C3884" t="s">
        <v>9520</v>
      </c>
      <c r="D3884" t="s">
        <v>9521</v>
      </c>
      <c r="E3884" t="s">
        <v>23</v>
      </c>
      <c r="F3884" t="s">
        <v>106</v>
      </c>
      <c r="G3884">
        <v>2010</v>
      </c>
      <c r="H3884" t="s">
        <v>71</v>
      </c>
      <c r="I3884" t="s">
        <v>9522</v>
      </c>
      <c r="J3884" t="s">
        <v>9523</v>
      </c>
      <c r="K3884" t="s">
        <v>25</v>
      </c>
      <c r="L3884" t="s">
        <v>30</v>
      </c>
      <c r="M3884" t="b">
        <v>1</v>
      </c>
      <c r="N3884" t="s">
        <v>6897</v>
      </c>
      <c r="O3884" t="str">
        <f>"241/.677"</f>
        <v>241/.677</v>
      </c>
      <c r="Q3884" t="b">
        <v>0</v>
      </c>
      <c r="S3884" t="str">
        <f>"9780310329695"</f>
        <v>9780310329695</v>
      </c>
      <c r="T3884" t="str">
        <f>"9780310599999"</f>
        <v>9780310599999</v>
      </c>
      <c r="U3884" t="b">
        <v>0</v>
      </c>
      <c r="V3884" t="s">
        <v>2872</v>
      </c>
      <c r="W3884" t="b">
        <v>0</v>
      </c>
    </row>
    <row r="3885" spans="1:23" x14ac:dyDescent="0.3">
      <c r="A3885">
        <v>1524726</v>
      </c>
      <c r="B3885">
        <v>62.07</v>
      </c>
      <c r="C3885" t="s">
        <v>9524</v>
      </c>
      <c r="E3885" t="s">
        <v>49</v>
      </c>
      <c r="F3885" t="s">
        <v>106</v>
      </c>
      <c r="G3885">
        <v>2010</v>
      </c>
      <c r="H3885" t="s">
        <v>71</v>
      </c>
      <c r="I3885" t="s">
        <v>9525</v>
      </c>
      <c r="J3885" t="s">
        <v>9526</v>
      </c>
      <c r="K3885" t="s">
        <v>25</v>
      </c>
      <c r="L3885" t="s">
        <v>26</v>
      </c>
      <c r="M3885" t="b">
        <v>1</v>
      </c>
      <c r="N3885" t="s">
        <v>9527</v>
      </c>
      <c r="O3885" t="str">
        <f>"220.6/4"</f>
        <v>220.6/4</v>
      </c>
      <c r="P3885" t="s">
        <v>9528</v>
      </c>
      <c r="Q3885" t="b">
        <v>0</v>
      </c>
      <c r="S3885" t="str">
        <f>"9780310494614"</f>
        <v>9780310494614</v>
      </c>
      <c r="T3885" t="str">
        <f>"9780310877332"</f>
        <v>9780310877332</v>
      </c>
      <c r="U3885" t="b">
        <v>0</v>
      </c>
      <c r="W3885" t="b">
        <v>0</v>
      </c>
    </row>
    <row r="3886" spans="1:23" x14ac:dyDescent="0.3">
      <c r="A3886">
        <v>1524725</v>
      </c>
      <c r="B3886">
        <v>35.97</v>
      </c>
      <c r="C3886" t="s">
        <v>9529</v>
      </c>
      <c r="E3886" t="s">
        <v>23</v>
      </c>
      <c r="F3886" t="s">
        <v>44</v>
      </c>
      <c r="G3886">
        <v>2014</v>
      </c>
      <c r="H3886" t="s">
        <v>912</v>
      </c>
      <c r="K3886" t="s">
        <v>25</v>
      </c>
      <c r="L3886" t="s">
        <v>30</v>
      </c>
      <c r="M3886" t="b">
        <v>1</v>
      </c>
      <c r="N3886" t="s">
        <v>9530</v>
      </c>
      <c r="Q3886" t="b">
        <v>0</v>
      </c>
      <c r="S3886" t="str">
        <f>"9789966003232"</f>
        <v>9789966003232</v>
      </c>
      <c r="T3886" t="str">
        <f>"9780310519195"</f>
        <v>9780310519195</v>
      </c>
      <c r="U3886" t="b">
        <v>0</v>
      </c>
      <c r="W3886" t="b">
        <v>0</v>
      </c>
    </row>
    <row r="3887" spans="1:23" x14ac:dyDescent="0.3">
      <c r="A3887">
        <v>1524724</v>
      </c>
      <c r="B3887">
        <v>86.22</v>
      </c>
      <c r="C3887" t="s">
        <v>9531</v>
      </c>
      <c r="D3887" t="s">
        <v>9532</v>
      </c>
      <c r="E3887" t="s">
        <v>23</v>
      </c>
      <c r="F3887" t="s">
        <v>44</v>
      </c>
      <c r="G3887">
        <v>2014</v>
      </c>
      <c r="H3887" t="s">
        <v>2702</v>
      </c>
      <c r="I3887" t="s">
        <v>7901</v>
      </c>
      <c r="J3887" t="s">
        <v>9533</v>
      </c>
      <c r="K3887" t="s">
        <v>25</v>
      </c>
      <c r="L3887" t="s">
        <v>30</v>
      </c>
      <c r="M3887" t="b">
        <v>1</v>
      </c>
      <c r="N3887" t="s">
        <v>4965</v>
      </c>
      <c r="O3887" t="str">
        <f>"251"</f>
        <v>251</v>
      </c>
      <c r="Q3887" t="b">
        <v>0</v>
      </c>
      <c r="S3887" t="str">
        <f>"9780310515456"</f>
        <v>9780310515456</v>
      </c>
      <c r="T3887" t="str">
        <f>"9780310515401"</f>
        <v>9780310515401</v>
      </c>
      <c r="U3887" t="b">
        <v>0</v>
      </c>
      <c r="W3887" t="b">
        <v>0</v>
      </c>
    </row>
    <row r="3888" spans="1:23" x14ac:dyDescent="0.3">
      <c r="A3888">
        <v>1524723</v>
      </c>
      <c r="B3888">
        <v>60.37</v>
      </c>
      <c r="C3888" t="s">
        <v>3431</v>
      </c>
      <c r="E3888" t="s">
        <v>49</v>
      </c>
      <c r="F3888" t="s">
        <v>106</v>
      </c>
      <c r="G3888">
        <v>2008</v>
      </c>
      <c r="H3888" t="s">
        <v>6356</v>
      </c>
      <c r="I3888" t="s">
        <v>9534</v>
      </c>
      <c r="K3888" t="s">
        <v>25</v>
      </c>
      <c r="L3888" t="s">
        <v>30</v>
      </c>
      <c r="M3888" t="b">
        <v>1</v>
      </c>
      <c r="N3888" t="s">
        <v>7314</v>
      </c>
      <c r="O3888" t="str">
        <f>"220.7"</f>
        <v>220.7</v>
      </c>
      <c r="P3888" t="s">
        <v>6271</v>
      </c>
      <c r="Q3888" t="b">
        <v>0</v>
      </c>
      <c r="T3888" t="str">
        <f>"9780310531722"</f>
        <v>9780310531722</v>
      </c>
      <c r="U3888" t="b">
        <v>0</v>
      </c>
      <c r="V3888" t="s">
        <v>940</v>
      </c>
      <c r="W3888" t="b">
        <v>0</v>
      </c>
    </row>
    <row r="3889" spans="1:23" x14ac:dyDescent="0.3">
      <c r="A3889">
        <v>1524722</v>
      </c>
      <c r="B3889">
        <v>58.62</v>
      </c>
      <c r="C3889" t="s">
        <v>9535</v>
      </c>
      <c r="D3889" t="s">
        <v>9536</v>
      </c>
      <c r="E3889" t="s">
        <v>49</v>
      </c>
      <c r="F3889" t="s">
        <v>106</v>
      </c>
      <c r="G3889">
        <v>2015</v>
      </c>
      <c r="H3889" t="s">
        <v>5781</v>
      </c>
      <c r="I3889" t="s">
        <v>6857</v>
      </c>
      <c r="K3889" t="s">
        <v>25</v>
      </c>
      <c r="L3889" t="s">
        <v>26</v>
      </c>
      <c r="M3889" t="b">
        <v>1</v>
      </c>
      <c r="N3889" t="s">
        <v>9537</v>
      </c>
      <c r="O3889" t="str">
        <f>"222/.1106"</f>
        <v>222/.1106</v>
      </c>
      <c r="P3889" t="s">
        <v>925</v>
      </c>
      <c r="Q3889" t="b">
        <v>0</v>
      </c>
      <c r="S3889" t="str">
        <f>"9780310514947"</f>
        <v>9780310514947</v>
      </c>
      <c r="T3889" t="str">
        <f>"9780310514954"</f>
        <v>9780310514954</v>
      </c>
      <c r="U3889" t="b">
        <v>0</v>
      </c>
      <c r="W3889" t="b">
        <v>0</v>
      </c>
    </row>
    <row r="3890" spans="1:23" x14ac:dyDescent="0.3">
      <c r="A3890">
        <v>1524721</v>
      </c>
      <c r="B3890">
        <v>182.82</v>
      </c>
      <c r="C3890" t="s">
        <v>3431</v>
      </c>
      <c r="E3890" t="s">
        <v>49</v>
      </c>
      <c r="F3890" t="s">
        <v>106</v>
      </c>
      <c r="G3890">
        <v>2001</v>
      </c>
      <c r="H3890" t="s">
        <v>927</v>
      </c>
      <c r="I3890" t="s">
        <v>8475</v>
      </c>
      <c r="K3890" t="s">
        <v>25</v>
      </c>
      <c r="L3890" t="s">
        <v>30</v>
      </c>
      <c r="M3890" t="b">
        <v>1</v>
      </c>
      <c r="N3890" t="s">
        <v>6560</v>
      </c>
      <c r="O3890" t="str">
        <f>"222/.11077"</f>
        <v>222/.11077</v>
      </c>
      <c r="P3890" t="s">
        <v>9538</v>
      </c>
      <c r="Q3890" t="b">
        <v>0</v>
      </c>
      <c r="S3890" t="str">
        <f>"9780310206170"</f>
        <v>9780310206170</v>
      </c>
      <c r="T3890" t="str">
        <f>"9780310866206"</f>
        <v>9780310866206</v>
      </c>
      <c r="U3890" t="b">
        <v>0</v>
      </c>
      <c r="W3890" t="b">
        <v>0</v>
      </c>
    </row>
    <row r="3891" spans="1:23" x14ac:dyDescent="0.3">
      <c r="A3891">
        <v>1524720</v>
      </c>
      <c r="B3891">
        <v>44.82</v>
      </c>
      <c r="C3891" t="s">
        <v>9539</v>
      </c>
      <c r="D3891" t="s">
        <v>9540</v>
      </c>
      <c r="E3891" t="s">
        <v>23</v>
      </c>
      <c r="F3891" t="s">
        <v>106</v>
      </c>
      <c r="G3891">
        <v>2010</v>
      </c>
      <c r="H3891" t="s">
        <v>71</v>
      </c>
      <c r="K3891" t="s">
        <v>25</v>
      </c>
      <c r="L3891" t="s">
        <v>30</v>
      </c>
      <c r="M3891" t="b">
        <v>1</v>
      </c>
      <c r="N3891" t="s">
        <v>9541</v>
      </c>
      <c r="Q3891" t="b">
        <v>0</v>
      </c>
      <c r="S3891" t="str">
        <f>"9780310263081"</f>
        <v>9780310263081</v>
      </c>
      <c r="T3891" t="str">
        <f>"9780310862116"</f>
        <v>9780310862116</v>
      </c>
      <c r="U3891" t="b">
        <v>0</v>
      </c>
      <c r="W3891" t="b">
        <v>0</v>
      </c>
    </row>
    <row r="3892" spans="1:23" x14ac:dyDescent="0.3">
      <c r="A3892">
        <v>1524719</v>
      </c>
      <c r="B3892">
        <v>65.52</v>
      </c>
      <c r="C3892" t="s">
        <v>9542</v>
      </c>
      <c r="D3892" t="s">
        <v>9543</v>
      </c>
      <c r="E3892" t="s">
        <v>49</v>
      </c>
      <c r="F3892" t="s">
        <v>44</v>
      </c>
      <c r="G3892">
        <v>2015</v>
      </c>
      <c r="H3892" t="s">
        <v>822</v>
      </c>
      <c r="I3892" t="s">
        <v>9544</v>
      </c>
      <c r="J3892" t="s">
        <v>9545</v>
      </c>
      <c r="K3892" t="s">
        <v>25</v>
      </c>
      <c r="L3892" t="s">
        <v>30</v>
      </c>
      <c r="M3892" t="b">
        <v>1</v>
      </c>
      <c r="N3892" t="s">
        <v>9546</v>
      </c>
      <c r="O3892" t="str">
        <f>"261.8/325"</f>
        <v>261.8/325</v>
      </c>
      <c r="Q3892" t="b">
        <v>0</v>
      </c>
      <c r="S3892" t="str">
        <f>"9780310518129"</f>
        <v>9780310518129</v>
      </c>
      <c r="T3892" t="str">
        <f>"9780310518136"</f>
        <v>9780310518136</v>
      </c>
      <c r="U3892" t="b">
        <v>0</v>
      </c>
      <c r="W3892" t="b">
        <v>0</v>
      </c>
    </row>
    <row r="3893" spans="1:23" x14ac:dyDescent="0.3">
      <c r="A3893">
        <v>1524718</v>
      </c>
      <c r="B3893">
        <v>103.47</v>
      </c>
      <c r="C3893" t="s">
        <v>9547</v>
      </c>
      <c r="D3893" t="s">
        <v>9548</v>
      </c>
      <c r="E3893" t="s">
        <v>49</v>
      </c>
      <c r="F3893" t="s">
        <v>106</v>
      </c>
      <c r="G3893">
        <v>2010</v>
      </c>
      <c r="H3893" t="s">
        <v>76</v>
      </c>
      <c r="I3893" t="s">
        <v>9549</v>
      </c>
      <c r="J3893" t="s">
        <v>895</v>
      </c>
      <c r="K3893" t="s">
        <v>25</v>
      </c>
      <c r="L3893" t="s">
        <v>30</v>
      </c>
      <c r="M3893" t="b">
        <v>1</v>
      </c>
      <c r="N3893" t="s">
        <v>9550</v>
      </c>
      <c r="O3893" t="str">
        <f>"221.6"</f>
        <v>221.6</v>
      </c>
      <c r="Q3893" t="b">
        <v>0</v>
      </c>
      <c r="S3893" t="str">
        <f>"9780310515463"</f>
        <v>9780310515463</v>
      </c>
      <c r="T3893" t="str">
        <f>"9780310872405"</f>
        <v>9780310872405</v>
      </c>
      <c r="U3893" t="b">
        <v>0</v>
      </c>
      <c r="W3893" t="b">
        <v>0</v>
      </c>
    </row>
    <row r="3894" spans="1:23" x14ac:dyDescent="0.3">
      <c r="A3894">
        <v>1524717</v>
      </c>
      <c r="B3894">
        <v>58.62</v>
      </c>
      <c r="C3894" t="s">
        <v>9551</v>
      </c>
      <c r="E3894" t="s">
        <v>49</v>
      </c>
      <c r="F3894" t="s">
        <v>106</v>
      </c>
      <c r="G3894">
        <v>2011</v>
      </c>
      <c r="H3894" t="s">
        <v>5760</v>
      </c>
      <c r="I3894" t="s">
        <v>7056</v>
      </c>
      <c r="J3894" t="s">
        <v>9552</v>
      </c>
      <c r="K3894" t="s">
        <v>25</v>
      </c>
      <c r="L3894" t="s">
        <v>26</v>
      </c>
      <c r="M3894" t="b">
        <v>1</v>
      </c>
      <c r="N3894" t="s">
        <v>9553</v>
      </c>
      <c r="O3894" t="str">
        <f>"277.3/082"</f>
        <v>277.3/082</v>
      </c>
      <c r="P3894" t="s">
        <v>7646</v>
      </c>
      <c r="Q3894" t="b">
        <v>0</v>
      </c>
      <c r="S3894" t="str">
        <f>"9780310293163"</f>
        <v>9780310293163</v>
      </c>
      <c r="T3894" t="str">
        <f>"9780310555810"</f>
        <v>9780310555810</v>
      </c>
      <c r="U3894" t="b">
        <v>0</v>
      </c>
      <c r="W3894" t="b">
        <v>0</v>
      </c>
    </row>
    <row r="3895" spans="1:23" x14ac:dyDescent="0.3">
      <c r="A3895">
        <v>1524716</v>
      </c>
      <c r="B3895">
        <v>68.97</v>
      </c>
      <c r="C3895" t="s">
        <v>9554</v>
      </c>
      <c r="E3895" t="s">
        <v>49</v>
      </c>
      <c r="F3895" t="s">
        <v>106</v>
      </c>
      <c r="G3895">
        <v>2013</v>
      </c>
      <c r="H3895" t="s">
        <v>735</v>
      </c>
      <c r="I3895" t="s">
        <v>9555</v>
      </c>
      <c r="J3895" t="s">
        <v>9556</v>
      </c>
      <c r="K3895" t="s">
        <v>25</v>
      </c>
      <c r="L3895" t="s">
        <v>26</v>
      </c>
      <c r="M3895" t="b">
        <v>1</v>
      </c>
      <c r="N3895" t="s">
        <v>9557</v>
      </c>
      <c r="O3895" t="str">
        <f>"236/.9"</f>
        <v>236/.9</v>
      </c>
      <c r="P3895" t="s">
        <v>7646</v>
      </c>
      <c r="Q3895" t="b">
        <v>0</v>
      </c>
      <c r="S3895" t="str">
        <f>"9780310490333"</f>
        <v>9780310490333</v>
      </c>
      <c r="T3895" t="str">
        <f>"9780310490340"</f>
        <v>9780310490340</v>
      </c>
      <c r="U3895" t="b">
        <v>0</v>
      </c>
      <c r="W3895" t="b">
        <v>0</v>
      </c>
    </row>
    <row r="3896" spans="1:23" x14ac:dyDescent="0.3">
      <c r="A3896">
        <v>1524715</v>
      </c>
      <c r="B3896">
        <v>68.97</v>
      </c>
      <c r="C3896" t="s">
        <v>9558</v>
      </c>
      <c r="E3896" t="s">
        <v>49</v>
      </c>
      <c r="F3896" t="s">
        <v>106</v>
      </c>
      <c r="G3896">
        <v>2013</v>
      </c>
      <c r="H3896" t="s">
        <v>954</v>
      </c>
      <c r="I3896" t="s">
        <v>9559</v>
      </c>
      <c r="J3896" t="s">
        <v>9560</v>
      </c>
      <c r="K3896" t="s">
        <v>25</v>
      </c>
      <c r="L3896" t="s">
        <v>26</v>
      </c>
      <c r="M3896" t="b">
        <v>1</v>
      </c>
      <c r="N3896" t="s">
        <v>9561</v>
      </c>
      <c r="O3896" t="str">
        <f>"222/.11092"</f>
        <v>222/.11092</v>
      </c>
      <c r="P3896" t="s">
        <v>925</v>
      </c>
      <c r="Q3896" t="b">
        <v>0</v>
      </c>
      <c r="S3896" t="str">
        <f>"9780310499275"</f>
        <v>9780310499275</v>
      </c>
      <c r="T3896" t="str">
        <f>"9780310499282"</f>
        <v>9780310499282</v>
      </c>
      <c r="U3896" t="b">
        <v>0</v>
      </c>
      <c r="W3896" t="b">
        <v>0</v>
      </c>
    </row>
    <row r="3897" spans="1:23" x14ac:dyDescent="0.3">
      <c r="A3897">
        <v>1524714</v>
      </c>
      <c r="B3897">
        <v>68.97</v>
      </c>
      <c r="C3897" t="s">
        <v>9562</v>
      </c>
      <c r="E3897" t="s">
        <v>49</v>
      </c>
      <c r="F3897" t="s">
        <v>106</v>
      </c>
      <c r="G3897">
        <v>2012</v>
      </c>
      <c r="H3897" t="s">
        <v>98</v>
      </c>
      <c r="I3897" t="s">
        <v>1172</v>
      </c>
      <c r="K3897" t="s">
        <v>25</v>
      </c>
      <c r="L3897" t="s">
        <v>26</v>
      </c>
      <c r="M3897" t="b">
        <v>1</v>
      </c>
      <c r="N3897" t="s">
        <v>44</v>
      </c>
      <c r="O3897" t="str">
        <f>"227/.06"</f>
        <v>227/.06</v>
      </c>
      <c r="P3897" t="s">
        <v>925</v>
      </c>
      <c r="Q3897" t="b">
        <v>0</v>
      </c>
      <c r="S3897" t="str">
        <f>"9780310326953"</f>
        <v>9780310326953</v>
      </c>
      <c r="T3897" t="str">
        <f>"9780310572541"</f>
        <v>9780310572541</v>
      </c>
      <c r="U3897" t="b">
        <v>0</v>
      </c>
      <c r="W3897" t="b">
        <v>0</v>
      </c>
    </row>
    <row r="3898" spans="1:23" x14ac:dyDescent="0.3">
      <c r="A3898">
        <v>1524713</v>
      </c>
      <c r="B3898">
        <v>68.97</v>
      </c>
      <c r="C3898" t="s">
        <v>9563</v>
      </c>
      <c r="E3898" t="s">
        <v>49</v>
      </c>
      <c r="F3898" t="s">
        <v>106</v>
      </c>
      <c r="G3898">
        <v>2010</v>
      </c>
      <c r="H3898" t="s">
        <v>5760</v>
      </c>
      <c r="I3898" t="s">
        <v>9564</v>
      </c>
      <c r="J3898" t="s">
        <v>9565</v>
      </c>
      <c r="K3898" t="s">
        <v>25</v>
      </c>
      <c r="L3898" t="s">
        <v>30</v>
      </c>
      <c r="M3898" t="b">
        <v>1</v>
      </c>
      <c r="N3898" t="s">
        <v>44</v>
      </c>
      <c r="O3898" t="str">
        <f>"261.2"</f>
        <v>261.2</v>
      </c>
      <c r="P3898" t="s">
        <v>6463</v>
      </c>
      <c r="Q3898" t="b">
        <v>0</v>
      </c>
      <c r="S3898" t="str">
        <f>"9780310212768"</f>
        <v>9780310212768</v>
      </c>
      <c r="T3898" t="str">
        <f>"9780310872382"</f>
        <v>9780310872382</v>
      </c>
      <c r="U3898" t="b">
        <v>0</v>
      </c>
      <c r="V3898" t="s">
        <v>2872</v>
      </c>
      <c r="W3898" t="b">
        <v>0</v>
      </c>
    </row>
    <row r="3899" spans="1:23" x14ac:dyDescent="0.3">
      <c r="A3899">
        <v>1524712</v>
      </c>
      <c r="B3899">
        <v>79.319999999999993</v>
      </c>
      <c r="C3899" t="s">
        <v>9566</v>
      </c>
      <c r="E3899" t="s">
        <v>49</v>
      </c>
      <c r="F3899" t="s">
        <v>106</v>
      </c>
      <c r="G3899">
        <v>2009</v>
      </c>
      <c r="H3899" t="s">
        <v>179</v>
      </c>
      <c r="I3899" t="s">
        <v>9567</v>
      </c>
      <c r="J3899" t="s">
        <v>9568</v>
      </c>
      <c r="K3899" t="s">
        <v>25</v>
      </c>
      <c r="L3899" t="s">
        <v>30</v>
      </c>
      <c r="M3899" t="b">
        <v>1</v>
      </c>
      <c r="N3899" t="s">
        <v>44</v>
      </c>
      <c r="O3899" t="str">
        <f>"220.601"</f>
        <v>220.601</v>
      </c>
      <c r="P3899" t="s">
        <v>9569</v>
      </c>
      <c r="Q3899" t="b">
        <v>0</v>
      </c>
      <c r="S3899" t="str">
        <f>"9780310276555"</f>
        <v>9780310276555</v>
      </c>
      <c r="T3899" t="str">
        <f>"9780310302490"</f>
        <v>9780310302490</v>
      </c>
      <c r="U3899" t="b">
        <v>0</v>
      </c>
      <c r="W3899" t="b">
        <v>0</v>
      </c>
    </row>
    <row r="3900" spans="1:23" x14ac:dyDescent="0.3">
      <c r="A3900">
        <v>1524710</v>
      </c>
      <c r="B3900">
        <v>79.319999999999993</v>
      </c>
      <c r="C3900" t="s">
        <v>9570</v>
      </c>
      <c r="E3900" t="s">
        <v>49</v>
      </c>
      <c r="F3900" t="s">
        <v>106</v>
      </c>
      <c r="G3900">
        <v>2002</v>
      </c>
      <c r="H3900" t="s">
        <v>5760</v>
      </c>
      <c r="I3900" t="s">
        <v>9571</v>
      </c>
      <c r="J3900" t="s">
        <v>9572</v>
      </c>
      <c r="K3900" t="s">
        <v>25</v>
      </c>
      <c r="L3900" t="s">
        <v>30</v>
      </c>
      <c r="M3900" t="b">
        <v>1</v>
      </c>
      <c r="N3900" t="s">
        <v>44</v>
      </c>
      <c r="O3900" t="str">
        <f>"234"</f>
        <v>234</v>
      </c>
      <c r="P3900" t="s">
        <v>6463</v>
      </c>
      <c r="Q3900" t="b">
        <v>0</v>
      </c>
      <c r="S3900" t="str">
        <f>"9780310234395"</f>
        <v>9780310234395</v>
      </c>
      <c r="T3900" t="str">
        <f>"9780310872368"</f>
        <v>9780310872368</v>
      </c>
      <c r="U3900" t="b">
        <v>0</v>
      </c>
      <c r="W3900" t="b">
        <v>0</v>
      </c>
    </row>
    <row r="3901" spans="1:23" x14ac:dyDescent="0.3">
      <c r="A3901">
        <v>1524709</v>
      </c>
      <c r="B3901">
        <v>68.97</v>
      </c>
      <c r="C3901" t="s">
        <v>9573</v>
      </c>
      <c r="E3901" t="s">
        <v>49</v>
      </c>
      <c r="F3901" t="s">
        <v>106</v>
      </c>
      <c r="G3901">
        <v>2011</v>
      </c>
      <c r="H3901" t="s">
        <v>115</v>
      </c>
      <c r="I3901" t="s">
        <v>9574</v>
      </c>
      <c r="J3901" t="s">
        <v>9575</v>
      </c>
      <c r="K3901" t="s">
        <v>25</v>
      </c>
      <c r="L3901" t="s">
        <v>30</v>
      </c>
      <c r="M3901" t="b">
        <v>1</v>
      </c>
      <c r="N3901" t="s">
        <v>9576</v>
      </c>
      <c r="O3901" t="str">
        <f>"231/.5"</f>
        <v>231/.5</v>
      </c>
      <c r="P3901" t="s">
        <v>8955</v>
      </c>
      <c r="Q3901" t="b">
        <v>0</v>
      </c>
      <c r="S3901" t="str">
        <f>"9780310325123"</f>
        <v>9780310325123</v>
      </c>
      <c r="T3901" t="str">
        <f>"9780310547952"</f>
        <v>9780310547952</v>
      </c>
      <c r="U3901" t="b">
        <v>0</v>
      </c>
      <c r="W3901" t="b">
        <v>0</v>
      </c>
    </row>
    <row r="3902" spans="1:23" x14ac:dyDescent="0.3">
      <c r="A3902">
        <v>1524708</v>
      </c>
      <c r="B3902">
        <v>68.97</v>
      </c>
      <c r="C3902" t="s">
        <v>9577</v>
      </c>
      <c r="E3902" t="s">
        <v>49</v>
      </c>
      <c r="F3902" t="s">
        <v>106</v>
      </c>
      <c r="G3902">
        <v>2012</v>
      </c>
      <c r="H3902" t="s">
        <v>115</v>
      </c>
      <c r="I3902" t="s">
        <v>2656</v>
      </c>
      <c r="J3902" t="s">
        <v>8738</v>
      </c>
      <c r="K3902" t="s">
        <v>25</v>
      </c>
      <c r="L3902" t="s">
        <v>26</v>
      </c>
      <c r="M3902" t="b">
        <v>1</v>
      </c>
      <c r="N3902" t="s">
        <v>9578</v>
      </c>
      <c r="O3902" t="str">
        <f>"248"</f>
        <v>248</v>
      </c>
      <c r="P3902" t="s">
        <v>7646</v>
      </c>
      <c r="Q3902" t="b">
        <v>0</v>
      </c>
      <c r="S3902" t="str">
        <f>"9780310329282"</f>
        <v>9780310329282</v>
      </c>
      <c r="T3902" t="str">
        <f>"9780310591894"</f>
        <v>9780310591894</v>
      </c>
      <c r="U3902" t="b">
        <v>0</v>
      </c>
      <c r="W3902" t="b">
        <v>0</v>
      </c>
    </row>
    <row r="3903" spans="1:23" x14ac:dyDescent="0.3">
      <c r="A3903">
        <v>1524707</v>
      </c>
      <c r="B3903">
        <v>62.07</v>
      </c>
      <c r="C3903" t="s">
        <v>9579</v>
      </c>
      <c r="D3903" t="s">
        <v>9580</v>
      </c>
      <c r="E3903" t="s">
        <v>49</v>
      </c>
      <c r="F3903" t="s">
        <v>44</v>
      </c>
      <c r="G3903">
        <v>2009</v>
      </c>
      <c r="H3903" t="s">
        <v>50</v>
      </c>
      <c r="I3903" t="s">
        <v>9581</v>
      </c>
      <c r="J3903" t="s">
        <v>7162</v>
      </c>
      <c r="K3903" t="s">
        <v>25</v>
      </c>
      <c r="L3903" t="s">
        <v>30</v>
      </c>
      <c r="M3903" t="b">
        <v>1</v>
      </c>
      <c r="N3903" t="s">
        <v>9582</v>
      </c>
      <c r="O3903" t="str">
        <f>"259/.23"</f>
        <v>259/.23</v>
      </c>
      <c r="Q3903" t="b">
        <v>0</v>
      </c>
      <c r="S3903" t="str">
        <f>"9780310234050"</f>
        <v>9780310234050</v>
      </c>
      <c r="T3903" t="str">
        <f>"9780310862055"</f>
        <v>9780310862055</v>
      </c>
      <c r="U3903" t="b">
        <v>0</v>
      </c>
      <c r="V3903" t="s">
        <v>6095</v>
      </c>
      <c r="W3903" t="b">
        <v>0</v>
      </c>
    </row>
    <row r="3904" spans="1:23" x14ac:dyDescent="0.3">
      <c r="A3904">
        <v>1524706</v>
      </c>
      <c r="B3904">
        <v>75.87</v>
      </c>
      <c r="C3904" t="s">
        <v>9583</v>
      </c>
      <c r="D3904" t="s">
        <v>9584</v>
      </c>
      <c r="E3904" t="s">
        <v>49</v>
      </c>
      <c r="F3904" t="s">
        <v>106</v>
      </c>
      <c r="G3904">
        <v>2015</v>
      </c>
      <c r="H3904" t="s">
        <v>107</v>
      </c>
      <c r="I3904" t="s">
        <v>9585</v>
      </c>
      <c r="J3904" t="s">
        <v>9586</v>
      </c>
      <c r="K3904" t="s">
        <v>25</v>
      </c>
      <c r="L3904" t="s">
        <v>30</v>
      </c>
      <c r="M3904" t="b">
        <v>1</v>
      </c>
      <c r="N3904" t="s">
        <v>9587</v>
      </c>
      <c r="O3904" t="str">
        <f>"261.8/325"</f>
        <v>261.8/325</v>
      </c>
      <c r="Q3904" t="b">
        <v>0</v>
      </c>
      <c r="S3904" t="str">
        <f>"9780310522997"</f>
        <v>9780310522997</v>
      </c>
      <c r="T3904" t="str">
        <f>"9780310523000"</f>
        <v>9780310523000</v>
      </c>
      <c r="U3904" t="b">
        <v>0</v>
      </c>
      <c r="W3904" t="b">
        <v>0</v>
      </c>
    </row>
    <row r="3905" spans="1:23" x14ac:dyDescent="0.3">
      <c r="A3905">
        <v>1524705</v>
      </c>
      <c r="B3905">
        <v>65.52</v>
      </c>
      <c r="C3905" t="s">
        <v>9588</v>
      </c>
      <c r="E3905" t="s">
        <v>49</v>
      </c>
      <c r="F3905" t="s">
        <v>106</v>
      </c>
      <c r="G3905">
        <v>2011</v>
      </c>
      <c r="H3905" t="s">
        <v>9589</v>
      </c>
      <c r="I3905" t="s">
        <v>9590</v>
      </c>
      <c r="J3905" t="s">
        <v>9591</v>
      </c>
      <c r="K3905" t="s">
        <v>25</v>
      </c>
      <c r="L3905" t="s">
        <v>30</v>
      </c>
      <c r="M3905" t="b">
        <v>1</v>
      </c>
      <c r="N3905" t="s">
        <v>1026</v>
      </c>
      <c r="O3905" t="str">
        <f>"230/.42"</f>
        <v>230/.42</v>
      </c>
      <c r="Q3905" t="b">
        <v>0</v>
      </c>
      <c r="S3905" t="str">
        <f>"9780310324652"</f>
        <v>9780310324652</v>
      </c>
      <c r="T3905" t="str">
        <f>"9780310296553"</f>
        <v>9780310296553</v>
      </c>
      <c r="U3905" t="b">
        <v>0</v>
      </c>
      <c r="W3905" t="b">
        <v>0</v>
      </c>
    </row>
    <row r="3906" spans="1:23" x14ac:dyDescent="0.3">
      <c r="A3906">
        <v>1524704</v>
      </c>
      <c r="B3906">
        <v>68.97</v>
      </c>
      <c r="C3906" t="s">
        <v>9592</v>
      </c>
      <c r="D3906" t="s">
        <v>9593</v>
      </c>
      <c r="E3906" t="s">
        <v>49</v>
      </c>
      <c r="F3906" t="s">
        <v>44</v>
      </c>
      <c r="G3906">
        <v>2010</v>
      </c>
      <c r="H3906" t="s">
        <v>2702</v>
      </c>
      <c r="I3906" t="s">
        <v>9594</v>
      </c>
      <c r="J3906" t="s">
        <v>9595</v>
      </c>
      <c r="K3906" t="s">
        <v>25</v>
      </c>
      <c r="L3906" t="s">
        <v>26</v>
      </c>
      <c r="M3906" t="b">
        <v>1</v>
      </c>
      <c r="N3906" t="s">
        <v>8542</v>
      </c>
      <c r="O3906" t="str">
        <f>"248.4"</f>
        <v>248.4</v>
      </c>
      <c r="Q3906" t="b">
        <v>0</v>
      </c>
      <c r="S3906" t="str">
        <f>"9780310521518"</f>
        <v>9780310521518</v>
      </c>
      <c r="T3906" t="str">
        <f>"9780310877257"</f>
        <v>9780310877257</v>
      </c>
      <c r="U3906" t="b">
        <v>0</v>
      </c>
      <c r="W3906" t="b">
        <v>0</v>
      </c>
    </row>
    <row r="3907" spans="1:23" x14ac:dyDescent="0.3">
      <c r="A3907">
        <v>1524703</v>
      </c>
      <c r="B3907">
        <v>86.22</v>
      </c>
      <c r="C3907" t="s">
        <v>9596</v>
      </c>
      <c r="D3907" t="s">
        <v>9597</v>
      </c>
      <c r="E3907" t="s">
        <v>49</v>
      </c>
      <c r="F3907" t="s">
        <v>106</v>
      </c>
      <c r="G3907">
        <v>2010</v>
      </c>
      <c r="H3907" t="s">
        <v>76</v>
      </c>
      <c r="I3907" t="s">
        <v>2656</v>
      </c>
      <c r="J3907" t="s">
        <v>1231</v>
      </c>
      <c r="K3907" t="s">
        <v>25</v>
      </c>
      <c r="L3907" t="s">
        <v>30</v>
      </c>
      <c r="M3907" t="b">
        <v>1</v>
      </c>
      <c r="N3907" t="s">
        <v>9598</v>
      </c>
      <c r="O3907" t="str">
        <f>"232/.8"</f>
        <v>232/.8</v>
      </c>
      <c r="P3907" t="s">
        <v>6637</v>
      </c>
      <c r="Q3907" t="b">
        <v>0</v>
      </c>
      <c r="S3907" t="str">
        <f>"9780310286165"</f>
        <v>9780310286165</v>
      </c>
      <c r="T3907" t="str">
        <f>"9780310322689"</f>
        <v>9780310322689</v>
      </c>
      <c r="U3907" t="b">
        <v>0</v>
      </c>
      <c r="W3907" t="b">
        <v>0</v>
      </c>
    </row>
    <row r="3908" spans="1:23" x14ac:dyDescent="0.3">
      <c r="A3908">
        <v>1524702</v>
      </c>
      <c r="B3908">
        <v>68.97</v>
      </c>
      <c r="C3908" t="s">
        <v>9599</v>
      </c>
      <c r="E3908" t="s">
        <v>49</v>
      </c>
      <c r="F3908" t="s">
        <v>106</v>
      </c>
      <c r="G3908">
        <v>2015</v>
      </c>
      <c r="H3908" t="s">
        <v>759</v>
      </c>
      <c r="I3908" t="s">
        <v>6391</v>
      </c>
      <c r="J3908" t="s">
        <v>9600</v>
      </c>
      <c r="K3908" t="s">
        <v>25</v>
      </c>
      <c r="L3908" t="s">
        <v>26</v>
      </c>
      <c r="M3908" t="b">
        <v>1</v>
      </c>
      <c r="N3908" t="s">
        <v>9601</v>
      </c>
      <c r="O3908" t="str">
        <f>"261.7"</f>
        <v>261.7</v>
      </c>
      <c r="P3908" t="s">
        <v>8955</v>
      </c>
      <c r="Q3908" t="b">
        <v>0</v>
      </c>
      <c r="S3908" t="str">
        <f>"9780310517924"</f>
        <v>9780310517924</v>
      </c>
      <c r="T3908" t="str">
        <f>"9780310517931"</f>
        <v>9780310517931</v>
      </c>
      <c r="U3908" t="b">
        <v>0</v>
      </c>
      <c r="W3908" t="b">
        <v>0</v>
      </c>
    </row>
    <row r="3909" spans="1:23" x14ac:dyDescent="0.3">
      <c r="A3909">
        <v>1524701</v>
      </c>
      <c r="B3909">
        <v>68.97</v>
      </c>
      <c r="C3909" t="s">
        <v>9602</v>
      </c>
      <c r="E3909" t="s">
        <v>49</v>
      </c>
      <c r="F3909" t="s">
        <v>106</v>
      </c>
      <c r="G3909">
        <v>1996</v>
      </c>
      <c r="H3909" t="s">
        <v>5760</v>
      </c>
      <c r="I3909" t="s">
        <v>9603</v>
      </c>
      <c r="J3909" t="s">
        <v>9604</v>
      </c>
      <c r="K3909" t="s">
        <v>25</v>
      </c>
      <c r="L3909" t="s">
        <v>30</v>
      </c>
      <c r="M3909" t="b">
        <v>1</v>
      </c>
      <c r="N3909" t="s">
        <v>9605</v>
      </c>
      <c r="O3909" t="str">
        <f>"234/.8"</f>
        <v>234/.8</v>
      </c>
      <c r="P3909" t="s">
        <v>6463</v>
      </c>
      <c r="Q3909" t="b">
        <v>0</v>
      </c>
      <c r="S3909" t="str">
        <f>"9780310212690"</f>
        <v>9780310212690</v>
      </c>
      <c r="T3909" t="str">
        <f>"9780310872283"</f>
        <v>9780310872283</v>
      </c>
      <c r="U3909" t="b">
        <v>0</v>
      </c>
      <c r="W3909" t="b">
        <v>0</v>
      </c>
    </row>
    <row r="3910" spans="1:23" x14ac:dyDescent="0.3">
      <c r="A3910">
        <v>1524700</v>
      </c>
      <c r="B3910">
        <v>86.22</v>
      </c>
      <c r="C3910" t="s">
        <v>9606</v>
      </c>
      <c r="E3910" t="s">
        <v>49</v>
      </c>
      <c r="F3910" t="s">
        <v>106</v>
      </c>
      <c r="G3910">
        <v>2010</v>
      </c>
      <c r="H3910" t="s">
        <v>5781</v>
      </c>
      <c r="I3910" t="s">
        <v>9607</v>
      </c>
      <c r="J3910" t="s">
        <v>9608</v>
      </c>
      <c r="K3910" t="s">
        <v>25</v>
      </c>
      <c r="L3910" t="s">
        <v>30</v>
      </c>
      <c r="M3910" t="b">
        <v>1</v>
      </c>
      <c r="N3910" t="s">
        <v>9609</v>
      </c>
      <c r="O3910" t="str">
        <f>"241/.2"</f>
        <v>241/.2</v>
      </c>
      <c r="P3910" t="s">
        <v>6463</v>
      </c>
      <c r="Q3910" t="b">
        <v>0</v>
      </c>
      <c r="S3910" t="str">
        <f>"9780310212713"</f>
        <v>9780310212713</v>
      </c>
      <c r="T3910" t="str">
        <f>"9780310872276"</f>
        <v>9780310872276</v>
      </c>
      <c r="U3910" t="b">
        <v>0</v>
      </c>
      <c r="V3910" t="s">
        <v>6095</v>
      </c>
      <c r="W3910" t="b">
        <v>0</v>
      </c>
    </row>
    <row r="3911" spans="1:23" x14ac:dyDescent="0.3">
      <c r="A3911">
        <v>1524699</v>
      </c>
      <c r="B3911">
        <v>79.319999999999993</v>
      </c>
      <c r="C3911" t="s">
        <v>9610</v>
      </c>
      <c r="E3911" t="s">
        <v>49</v>
      </c>
      <c r="F3911" t="s">
        <v>106</v>
      </c>
      <c r="G3911">
        <v>2013</v>
      </c>
      <c r="H3911" t="s">
        <v>115</v>
      </c>
      <c r="I3911" t="s">
        <v>6410</v>
      </c>
      <c r="J3911" t="s">
        <v>7670</v>
      </c>
      <c r="K3911" t="s">
        <v>25</v>
      </c>
      <c r="L3911" t="s">
        <v>26</v>
      </c>
      <c r="M3911" t="b">
        <v>1</v>
      </c>
      <c r="N3911" t="s">
        <v>44</v>
      </c>
      <c r="O3911" t="str">
        <f>"220.1/32"</f>
        <v>220.1/32</v>
      </c>
      <c r="P3911" t="s">
        <v>925</v>
      </c>
      <c r="Q3911" t="b">
        <v>0</v>
      </c>
      <c r="S3911" t="str">
        <f>"9780310331360"</f>
        <v>9780310331360</v>
      </c>
      <c r="T3911" t="str">
        <f>"9780310426578"</f>
        <v>9780310426578</v>
      </c>
      <c r="U3911" t="b">
        <v>0</v>
      </c>
      <c r="W3911" t="b">
        <v>0</v>
      </c>
    </row>
    <row r="3912" spans="1:23" x14ac:dyDescent="0.3">
      <c r="A3912">
        <v>1524698</v>
      </c>
      <c r="B3912">
        <v>86.22</v>
      </c>
      <c r="C3912" t="s">
        <v>9611</v>
      </c>
      <c r="E3912" t="s">
        <v>49</v>
      </c>
      <c r="F3912" t="s">
        <v>106</v>
      </c>
      <c r="G3912">
        <v>2000</v>
      </c>
      <c r="H3912" t="s">
        <v>70</v>
      </c>
      <c r="I3912" t="s">
        <v>9612</v>
      </c>
      <c r="J3912" t="s">
        <v>1309</v>
      </c>
      <c r="K3912" t="s">
        <v>25</v>
      </c>
      <c r="L3912" t="s">
        <v>30</v>
      </c>
      <c r="M3912" t="b">
        <v>1</v>
      </c>
      <c r="N3912" t="s">
        <v>44</v>
      </c>
      <c r="O3912" t="str">
        <f>"239"</f>
        <v>239</v>
      </c>
      <c r="P3912" t="s">
        <v>6463</v>
      </c>
      <c r="Q3912" t="b">
        <v>0</v>
      </c>
      <c r="S3912" t="str">
        <f>"9780310224761"</f>
        <v>9780310224761</v>
      </c>
      <c r="T3912" t="str">
        <f>"9780310872269"</f>
        <v>9780310872269</v>
      </c>
      <c r="U3912" t="b">
        <v>0</v>
      </c>
      <c r="W3912" t="b">
        <v>0</v>
      </c>
    </row>
    <row r="3913" spans="1:23" x14ac:dyDescent="0.3">
      <c r="A3913">
        <v>1524697</v>
      </c>
      <c r="B3913">
        <v>51.72</v>
      </c>
      <c r="C3913" t="s">
        <v>9613</v>
      </c>
      <c r="E3913" t="s">
        <v>49</v>
      </c>
      <c r="F3913" t="s">
        <v>44</v>
      </c>
      <c r="G3913">
        <v>2011</v>
      </c>
      <c r="H3913" t="s">
        <v>881</v>
      </c>
      <c r="I3913" t="s">
        <v>1303</v>
      </c>
      <c r="J3913" t="s">
        <v>9614</v>
      </c>
      <c r="K3913" t="s">
        <v>25</v>
      </c>
      <c r="L3913" t="s">
        <v>26</v>
      </c>
      <c r="M3913" t="b">
        <v>1</v>
      </c>
      <c r="N3913" t="s">
        <v>9615</v>
      </c>
      <c r="O3913" t="str">
        <f>"231/.4"</f>
        <v>231/.4</v>
      </c>
      <c r="P3913" t="s">
        <v>9113</v>
      </c>
      <c r="Q3913" t="b">
        <v>0</v>
      </c>
      <c r="S3913" t="str">
        <f>"9780310324744"</f>
        <v>9780310324744</v>
      </c>
      <c r="T3913" t="str">
        <f>"9780310303947"</f>
        <v>9780310303947</v>
      </c>
      <c r="U3913" t="b">
        <v>0</v>
      </c>
      <c r="W3913" t="b">
        <v>0</v>
      </c>
    </row>
    <row r="3914" spans="1:23" x14ac:dyDescent="0.3">
      <c r="A3914">
        <v>1524696</v>
      </c>
      <c r="B3914">
        <v>68.97</v>
      </c>
      <c r="C3914" t="s">
        <v>9616</v>
      </c>
      <c r="D3914" t="s">
        <v>9617</v>
      </c>
      <c r="E3914" t="s">
        <v>23</v>
      </c>
      <c r="F3914" t="s">
        <v>44</v>
      </c>
      <c r="G3914">
        <v>2013</v>
      </c>
      <c r="H3914" t="s">
        <v>2868</v>
      </c>
      <c r="I3914" t="s">
        <v>9618</v>
      </c>
      <c r="J3914" t="s">
        <v>9619</v>
      </c>
      <c r="K3914" t="s">
        <v>25</v>
      </c>
      <c r="L3914" t="s">
        <v>26</v>
      </c>
      <c r="M3914" t="b">
        <v>1</v>
      </c>
      <c r="N3914" t="s">
        <v>7882</v>
      </c>
      <c r="O3914" t="str">
        <f>"241/.667"</f>
        <v>241/.667</v>
      </c>
      <c r="Q3914" t="b">
        <v>0</v>
      </c>
      <c r="S3914" t="str">
        <f>"9780310499237"</f>
        <v>9780310499237</v>
      </c>
      <c r="T3914" t="str">
        <f>"9780310499244"</f>
        <v>9780310499244</v>
      </c>
      <c r="U3914" t="b">
        <v>0</v>
      </c>
      <c r="W3914" t="b">
        <v>0</v>
      </c>
    </row>
    <row r="3915" spans="1:23" x14ac:dyDescent="0.3">
      <c r="A3915">
        <v>1524695</v>
      </c>
      <c r="B3915">
        <v>41.37</v>
      </c>
      <c r="C3915" t="s">
        <v>6242</v>
      </c>
      <c r="D3915" t="s">
        <v>9620</v>
      </c>
      <c r="E3915" t="s">
        <v>49</v>
      </c>
      <c r="F3915" t="s">
        <v>44</v>
      </c>
      <c r="G3915">
        <v>2015</v>
      </c>
      <c r="H3915" t="s">
        <v>71</v>
      </c>
      <c r="I3915" t="s">
        <v>1086</v>
      </c>
      <c r="J3915" t="s">
        <v>9621</v>
      </c>
      <c r="K3915" t="s">
        <v>25</v>
      </c>
      <c r="L3915" t="s">
        <v>30</v>
      </c>
      <c r="M3915" t="b">
        <v>1</v>
      </c>
      <c r="N3915" t="s">
        <v>9622</v>
      </c>
      <c r="O3915" t="str">
        <f>"233/.5"</f>
        <v>233/.5</v>
      </c>
      <c r="P3915" t="s">
        <v>9025</v>
      </c>
      <c r="Q3915" t="b">
        <v>0</v>
      </c>
      <c r="S3915" t="str">
        <f>"9780310518273"</f>
        <v>9780310518273</v>
      </c>
      <c r="T3915" t="str">
        <f>"9780310518280"</f>
        <v>9780310518280</v>
      </c>
      <c r="U3915" t="b">
        <v>0</v>
      </c>
      <c r="W3915" t="b">
        <v>0</v>
      </c>
    </row>
    <row r="3916" spans="1:23" x14ac:dyDescent="0.3">
      <c r="A3916">
        <v>1524694</v>
      </c>
      <c r="B3916">
        <v>68.97</v>
      </c>
      <c r="C3916" t="s">
        <v>9623</v>
      </c>
      <c r="D3916" t="s">
        <v>7773</v>
      </c>
      <c r="E3916" t="s">
        <v>49</v>
      </c>
      <c r="F3916" t="s">
        <v>106</v>
      </c>
      <c r="G3916">
        <v>2015</v>
      </c>
      <c r="H3916" t="s">
        <v>6334</v>
      </c>
      <c r="I3916" t="s">
        <v>9624</v>
      </c>
      <c r="J3916" t="s">
        <v>9625</v>
      </c>
      <c r="K3916" t="s">
        <v>25</v>
      </c>
      <c r="L3916" t="s">
        <v>26</v>
      </c>
      <c r="M3916" t="b">
        <v>1</v>
      </c>
      <c r="N3916" t="s">
        <v>8815</v>
      </c>
      <c r="O3916" t="str">
        <f>"234/.7"</f>
        <v>234/.7</v>
      </c>
      <c r="P3916" t="s">
        <v>7771</v>
      </c>
      <c r="Q3916" t="b">
        <v>0</v>
      </c>
      <c r="S3916" t="str">
        <f>"9780310515784"</f>
        <v>9780310515784</v>
      </c>
      <c r="T3916" t="str">
        <f>"9780310515791"</f>
        <v>9780310515791</v>
      </c>
      <c r="U3916" t="b">
        <v>0</v>
      </c>
      <c r="W3916" t="b">
        <v>0</v>
      </c>
    </row>
    <row r="3917" spans="1:23" x14ac:dyDescent="0.3">
      <c r="A3917">
        <v>1524693</v>
      </c>
      <c r="B3917">
        <v>120.72</v>
      </c>
      <c r="C3917" t="s">
        <v>8551</v>
      </c>
      <c r="E3917" t="s">
        <v>49</v>
      </c>
      <c r="F3917" t="s">
        <v>106</v>
      </c>
      <c r="G3917">
        <v>1999</v>
      </c>
      <c r="H3917" t="s">
        <v>927</v>
      </c>
      <c r="I3917" t="s">
        <v>9626</v>
      </c>
      <c r="K3917" t="s">
        <v>25</v>
      </c>
      <c r="L3917" t="s">
        <v>30</v>
      </c>
      <c r="M3917" t="b">
        <v>1</v>
      </c>
      <c r="N3917" t="s">
        <v>9627</v>
      </c>
      <c r="O3917" t="str">
        <f>"224/.4077"</f>
        <v>224/.4077</v>
      </c>
      <c r="P3917" t="s">
        <v>7005</v>
      </c>
      <c r="Q3917" t="b">
        <v>0</v>
      </c>
      <c r="S3917" t="str">
        <f>"9780310210474"</f>
        <v>9780310210474</v>
      </c>
      <c r="T3917" t="str">
        <f>"9780310866107"</f>
        <v>9780310866107</v>
      </c>
      <c r="U3917" t="b">
        <v>0</v>
      </c>
      <c r="W3917" t="b">
        <v>0</v>
      </c>
    </row>
    <row r="3918" spans="1:23" x14ac:dyDescent="0.3">
      <c r="A3918">
        <v>1524692</v>
      </c>
      <c r="B3918">
        <v>68.97</v>
      </c>
      <c r="C3918" t="s">
        <v>9628</v>
      </c>
      <c r="D3918" t="s">
        <v>9629</v>
      </c>
      <c r="E3918" t="s">
        <v>49</v>
      </c>
      <c r="F3918" t="s">
        <v>44</v>
      </c>
      <c r="G3918">
        <v>2011</v>
      </c>
      <c r="H3918" t="s">
        <v>881</v>
      </c>
      <c r="K3918" t="s">
        <v>25</v>
      </c>
      <c r="L3918" t="s">
        <v>30</v>
      </c>
      <c r="M3918" t="b">
        <v>1</v>
      </c>
      <c r="N3918" t="s">
        <v>9630</v>
      </c>
      <c r="Q3918" t="b">
        <v>0</v>
      </c>
      <c r="S3918" t="str">
        <f>"9780310326991"</f>
        <v>9780310326991</v>
      </c>
      <c r="T3918" t="str">
        <f>"9780310577416"</f>
        <v>9780310577416</v>
      </c>
      <c r="U3918" t="b">
        <v>0</v>
      </c>
      <c r="W3918" t="b">
        <v>0</v>
      </c>
    </row>
    <row r="3919" spans="1:23" x14ac:dyDescent="0.3">
      <c r="A3919">
        <v>1524691</v>
      </c>
      <c r="B3919">
        <v>137.97</v>
      </c>
      <c r="C3919" t="s">
        <v>1228</v>
      </c>
      <c r="E3919" t="s">
        <v>49</v>
      </c>
      <c r="F3919" t="s">
        <v>106</v>
      </c>
      <c r="G3919">
        <v>2000</v>
      </c>
      <c r="H3919" t="s">
        <v>6356</v>
      </c>
      <c r="I3919" t="s">
        <v>7000</v>
      </c>
      <c r="K3919" t="s">
        <v>25</v>
      </c>
      <c r="L3919" t="s">
        <v>30</v>
      </c>
      <c r="M3919" t="b">
        <v>1</v>
      </c>
      <c r="N3919" t="s">
        <v>9631</v>
      </c>
      <c r="O3919" t="str">
        <f>"222/.12077"</f>
        <v>222/.12077</v>
      </c>
      <c r="P3919" t="s">
        <v>6300</v>
      </c>
      <c r="Q3919" t="b">
        <v>0</v>
      </c>
      <c r="S3919" t="str">
        <f>"9780310206071"</f>
        <v>9780310206071</v>
      </c>
      <c r="T3919" t="str">
        <f>"9780310520740"</f>
        <v>9780310520740</v>
      </c>
      <c r="U3919" t="b">
        <v>0</v>
      </c>
      <c r="W3919" t="b">
        <v>0</v>
      </c>
    </row>
    <row r="3920" spans="1:23" x14ac:dyDescent="0.3">
      <c r="A3920">
        <v>1524690</v>
      </c>
      <c r="B3920">
        <v>79.319999999999993</v>
      </c>
      <c r="C3920" t="s">
        <v>9632</v>
      </c>
      <c r="D3920" t="s">
        <v>9633</v>
      </c>
      <c r="E3920" t="s">
        <v>49</v>
      </c>
      <c r="F3920" t="s">
        <v>44</v>
      </c>
      <c r="G3920">
        <v>2004</v>
      </c>
      <c r="H3920" t="s">
        <v>751</v>
      </c>
      <c r="I3920" t="s">
        <v>6787</v>
      </c>
      <c r="J3920" t="s">
        <v>9634</v>
      </c>
      <c r="K3920" t="s">
        <v>25</v>
      </c>
      <c r="L3920" t="s">
        <v>30</v>
      </c>
      <c r="M3920" t="b">
        <v>1</v>
      </c>
      <c r="N3920" t="s">
        <v>44</v>
      </c>
      <c r="O3920" t="str">
        <f>"254/.5"</f>
        <v>254/.5</v>
      </c>
      <c r="P3920" t="s">
        <v>6463</v>
      </c>
      <c r="Q3920" t="b">
        <v>0</v>
      </c>
      <c r="S3920" t="str">
        <f>"9780310241102"</f>
        <v>9780310241102</v>
      </c>
      <c r="T3920" t="str">
        <f>"9780310872153"</f>
        <v>9780310872153</v>
      </c>
      <c r="U3920" t="b">
        <v>0</v>
      </c>
      <c r="W3920" t="b">
        <v>0</v>
      </c>
    </row>
    <row r="3921" spans="1:23" x14ac:dyDescent="0.3">
      <c r="A3921">
        <v>1524689</v>
      </c>
      <c r="B3921">
        <v>93.12</v>
      </c>
      <c r="C3921" t="s">
        <v>838</v>
      </c>
      <c r="E3921" t="s">
        <v>49</v>
      </c>
      <c r="F3921" t="s">
        <v>106</v>
      </c>
      <c r="G3921">
        <v>1999</v>
      </c>
      <c r="H3921" t="s">
        <v>5768</v>
      </c>
      <c r="I3921" t="s">
        <v>9635</v>
      </c>
      <c r="K3921" t="s">
        <v>25</v>
      </c>
      <c r="L3921" t="s">
        <v>30</v>
      </c>
      <c r="M3921" t="b">
        <v>1</v>
      </c>
      <c r="N3921" t="s">
        <v>7088</v>
      </c>
      <c r="O3921" t="str">
        <f>"222/.9077"</f>
        <v>222/.9077</v>
      </c>
      <c r="P3921" t="s">
        <v>6300</v>
      </c>
      <c r="Q3921" t="b">
        <v>0</v>
      </c>
      <c r="S3921" t="str">
        <f>"9780310206729"</f>
        <v>9780310206729</v>
      </c>
      <c r="T3921" t="str">
        <f>"9780310872146"</f>
        <v>9780310872146</v>
      </c>
      <c r="U3921" t="b">
        <v>0</v>
      </c>
      <c r="W3921" t="b">
        <v>0</v>
      </c>
    </row>
    <row r="3922" spans="1:23" x14ac:dyDescent="0.3">
      <c r="A3922">
        <v>1524688</v>
      </c>
      <c r="B3922">
        <v>103.47</v>
      </c>
      <c r="C3922" t="s">
        <v>97</v>
      </c>
      <c r="E3922" t="s">
        <v>49</v>
      </c>
      <c r="F3922" t="s">
        <v>106</v>
      </c>
      <c r="G3922">
        <v>2009</v>
      </c>
      <c r="H3922" t="s">
        <v>6799</v>
      </c>
      <c r="I3922" t="s">
        <v>9636</v>
      </c>
      <c r="K3922" t="s">
        <v>25</v>
      </c>
      <c r="L3922" t="s">
        <v>30</v>
      </c>
      <c r="M3922" t="b">
        <v>1</v>
      </c>
      <c r="N3922" t="s">
        <v>9637</v>
      </c>
      <c r="O3922" t="str">
        <f>"227/.5077"</f>
        <v>227/.5077</v>
      </c>
      <c r="P3922" t="s">
        <v>6300</v>
      </c>
      <c r="Q3922" t="b">
        <v>0</v>
      </c>
      <c r="S3922" t="str">
        <f>"9780310493402"</f>
        <v>9780310493402</v>
      </c>
      <c r="T3922" t="str">
        <f>"9780310773740"</f>
        <v>9780310773740</v>
      </c>
      <c r="U3922" t="b">
        <v>0</v>
      </c>
      <c r="V3922" t="s">
        <v>2872</v>
      </c>
      <c r="W3922" t="b">
        <v>0</v>
      </c>
    </row>
    <row r="3923" spans="1:23" x14ac:dyDescent="0.3">
      <c r="A3923">
        <v>1524687</v>
      </c>
      <c r="B3923">
        <v>137.97</v>
      </c>
      <c r="C3923" t="s">
        <v>97</v>
      </c>
      <c r="E3923" t="s">
        <v>49</v>
      </c>
      <c r="F3923" t="s">
        <v>106</v>
      </c>
      <c r="G3923">
        <v>2010</v>
      </c>
      <c r="H3923" t="s">
        <v>6799</v>
      </c>
      <c r="I3923" t="s">
        <v>9638</v>
      </c>
      <c r="K3923" t="s">
        <v>25</v>
      </c>
      <c r="L3923" t="s">
        <v>30</v>
      </c>
      <c r="M3923" t="b">
        <v>1</v>
      </c>
      <c r="N3923" t="s">
        <v>44</v>
      </c>
      <c r="O3923" t="str">
        <f>"227/.5077"</f>
        <v>227/.5077</v>
      </c>
      <c r="P3923" t="s">
        <v>9341</v>
      </c>
      <c r="Q3923" t="b">
        <v>0</v>
      </c>
      <c r="S3923" t="str">
        <f>"9780310243731"</f>
        <v>9780310243731</v>
      </c>
      <c r="T3923" t="str">
        <f>"9780310492153"</f>
        <v>9780310492153</v>
      </c>
      <c r="U3923" t="b">
        <v>0</v>
      </c>
      <c r="W3923" t="b">
        <v>0</v>
      </c>
    </row>
    <row r="3924" spans="1:23" x14ac:dyDescent="0.3">
      <c r="A3924">
        <v>1524686</v>
      </c>
      <c r="B3924">
        <v>124.17</v>
      </c>
      <c r="C3924" t="s">
        <v>9639</v>
      </c>
      <c r="D3924" t="s">
        <v>6243</v>
      </c>
      <c r="E3924" t="s">
        <v>49</v>
      </c>
      <c r="F3924" t="s">
        <v>106</v>
      </c>
      <c r="G3924">
        <v>2010</v>
      </c>
      <c r="H3924" t="s">
        <v>7908</v>
      </c>
      <c r="I3924" t="s">
        <v>9640</v>
      </c>
      <c r="J3924" t="s">
        <v>9641</v>
      </c>
      <c r="K3924" t="s">
        <v>25</v>
      </c>
      <c r="L3924" t="s">
        <v>30</v>
      </c>
      <c r="M3924" t="b">
        <v>1</v>
      </c>
      <c r="N3924" t="s">
        <v>9642</v>
      </c>
      <c r="O3924" t="str">
        <f>"200/.3"</f>
        <v>200/.3</v>
      </c>
      <c r="Q3924" t="b">
        <v>0</v>
      </c>
      <c r="S3924" t="str">
        <f>"9780310239543"</f>
        <v>9780310239543</v>
      </c>
      <c r="T3924" t="str">
        <f>"9780310866060"</f>
        <v>9780310866060</v>
      </c>
      <c r="U3924" t="b">
        <v>0</v>
      </c>
      <c r="V3924" t="s">
        <v>9643</v>
      </c>
      <c r="W3924" t="b">
        <v>0</v>
      </c>
    </row>
    <row r="3925" spans="1:23" x14ac:dyDescent="0.3">
      <c r="A3925">
        <v>1524685</v>
      </c>
      <c r="B3925">
        <v>42.61</v>
      </c>
      <c r="C3925" t="s">
        <v>3439</v>
      </c>
      <c r="E3925" t="s">
        <v>49</v>
      </c>
      <c r="F3925" t="s">
        <v>106</v>
      </c>
      <c r="G3925">
        <v>2010</v>
      </c>
      <c r="H3925" t="s">
        <v>881</v>
      </c>
      <c r="K3925" t="s">
        <v>25</v>
      </c>
      <c r="L3925" t="s">
        <v>30</v>
      </c>
      <c r="M3925" t="b">
        <v>1</v>
      </c>
      <c r="N3925" t="s">
        <v>9051</v>
      </c>
      <c r="P3925" t="s">
        <v>9113</v>
      </c>
      <c r="Q3925" t="b">
        <v>0</v>
      </c>
      <c r="S3925" t="str">
        <f>"9780310280460"</f>
        <v>9780310280460</v>
      </c>
      <c r="T3925" t="str">
        <f>"9780310410355"</f>
        <v>9780310410355</v>
      </c>
      <c r="U3925" t="b">
        <v>0</v>
      </c>
      <c r="W3925" t="b">
        <v>0</v>
      </c>
    </row>
    <row r="3926" spans="1:23" x14ac:dyDescent="0.3">
      <c r="A3926">
        <v>1524684</v>
      </c>
      <c r="B3926">
        <v>46.16</v>
      </c>
      <c r="C3926" t="s">
        <v>9644</v>
      </c>
      <c r="D3926" t="s">
        <v>9645</v>
      </c>
      <c r="E3926" t="s">
        <v>23</v>
      </c>
      <c r="F3926" t="s">
        <v>44</v>
      </c>
      <c r="G3926">
        <v>2014</v>
      </c>
      <c r="H3926" t="s">
        <v>107</v>
      </c>
      <c r="I3926" t="s">
        <v>9646</v>
      </c>
      <c r="J3926" t="s">
        <v>9647</v>
      </c>
      <c r="K3926" t="s">
        <v>25</v>
      </c>
      <c r="L3926" t="s">
        <v>30</v>
      </c>
      <c r="M3926" t="b">
        <v>1</v>
      </c>
      <c r="N3926" t="s">
        <v>9648</v>
      </c>
      <c r="O3926" t="str">
        <f>"234"</f>
        <v>234</v>
      </c>
      <c r="Q3926" t="b">
        <v>0</v>
      </c>
      <c r="S3926" t="str">
        <f>"9780310516545"</f>
        <v>9780310516545</v>
      </c>
      <c r="T3926" t="str">
        <f>"9780310516552"</f>
        <v>9780310516552</v>
      </c>
      <c r="U3926" t="b">
        <v>0</v>
      </c>
      <c r="W3926" t="b">
        <v>0</v>
      </c>
    </row>
    <row r="3927" spans="1:23" x14ac:dyDescent="0.3">
      <c r="A3927">
        <v>1524683</v>
      </c>
      <c r="B3927">
        <v>68.97</v>
      </c>
      <c r="C3927" t="s">
        <v>9649</v>
      </c>
      <c r="D3927" t="s">
        <v>9650</v>
      </c>
      <c r="E3927" t="s">
        <v>49</v>
      </c>
      <c r="F3927" t="s">
        <v>44</v>
      </c>
      <c r="G3927">
        <v>2013</v>
      </c>
      <c r="H3927" t="s">
        <v>52</v>
      </c>
      <c r="I3927" t="s">
        <v>9651</v>
      </c>
      <c r="J3927" t="s">
        <v>9652</v>
      </c>
      <c r="K3927" t="s">
        <v>25</v>
      </c>
      <c r="L3927" t="s">
        <v>30</v>
      </c>
      <c r="M3927" t="b">
        <v>1</v>
      </c>
      <c r="N3927" t="s">
        <v>2223</v>
      </c>
      <c r="O3927" t="str">
        <f>"253.5"</f>
        <v>253.5</v>
      </c>
      <c r="Q3927" t="b">
        <v>0</v>
      </c>
      <c r="S3927" t="str">
        <f>"9780310225706"</f>
        <v>9780310225706</v>
      </c>
      <c r="T3927" t="str">
        <f>"9780310515883"</f>
        <v>9780310515883</v>
      </c>
      <c r="U3927" t="b">
        <v>0</v>
      </c>
      <c r="W3927" t="b">
        <v>0</v>
      </c>
    </row>
    <row r="3928" spans="1:23" x14ac:dyDescent="0.3">
      <c r="A3928">
        <v>1524682</v>
      </c>
      <c r="B3928">
        <v>113.82</v>
      </c>
      <c r="C3928" t="s">
        <v>6257</v>
      </c>
      <c r="E3928" t="s">
        <v>49</v>
      </c>
      <c r="F3928" t="s">
        <v>106</v>
      </c>
      <c r="G3928">
        <v>2001</v>
      </c>
      <c r="H3928" t="s">
        <v>3422</v>
      </c>
      <c r="I3928" t="s">
        <v>9653</v>
      </c>
      <c r="K3928" t="s">
        <v>25</v>
      </c>
      <c r="L3928" t="s">
        <v>30</v>
      </c>
      <c r="M3928" t="b">
        <v>1</v>
      </c>
      <c r="N3928" t="s">
        <v>9654</v>
      </c>
      <c r="O3928" t="str">
        <f>"223/.8077"</f>
        <v>223/.8077</v>
      </c>
      <c r="P3928" t="s">
        <v>9343</v>
      </c>
      <c r="Q3928" t="b">
        <v>0</v>
      </c>
      <c r="S3928" t="str">
        <f>"9780310213727"</f>
        <v>9780310213727</v>
      </c>
      <c r="T3928" t="str">
        <f>"9780310872085"</f>
        <v>9780310872085</v>
      </c>
      <c r="U3928" t="b">
        <v>0</v>
      </c>
      <c r="W3928" t="b">
        <v>0</v>
      </c>
    </row>
    <row r="3929" spans="1:23" x14ac:dyDescent="0.3">
      <c r="A3929">
        <v>1524681</v>
      </c>
      <c r="B3929">
        <v>58.62</v>
      </c>
      <c r="C3929" t="s">
        <v>9655</v>
      </c>
      <c r="D3929" t="s">
        <v>9656</v>
      </c>
      <c r="E3929" t="s">
        <v>49</v>
      </c>
      <c r="F3929" t="s">
        <v>44</v>
      </c>
      <c r="G3929">
        <v>2009</v>
      </c>
      <c r="H3929" t="s">
        <v>71</v>
      </c>
      <c r="K3929" t="s">
        <v>25</v>
      </c>
      <c r="L3929" t="s">
        <v>30</v>
      </c>
      <c r="M3929" t="b">
        <v>1</v>
      </c>
      <c r="N3929" t="s">
        <v>4836</v>
      </c>
      <c r="Q3929" t="b">
        <v>0</v>
      </c>
      <c r="S3929" t="str">
        <f>"9780310281160"</f>
        <v>9780310281160</v>
      </c>
      <c r="T3929" t="str">
        <f>"9780310590538"</f>
        <v>9780310590538</v>
      </c>
      <c r="U3929" t="b">
        <v>0</v>
      </c>
      <c r="W3929" t="b">
        <v>0</v>
      </c>
    </row>
    <row r="3930" spans="1:23" x14ac:dyDescent="0.3">
      <c r="A3930">
        <v>1524680</v>
      </c>
      <c r="B3930">
        <v>58.62</v>
      </c>
      <c r="C3930" t="s">
        <v>9657</v>
      </c>
      <c r="D3930" t="s">
        <v>3436</v>
      </c>
      <c r="E3930" t="s">
        <v>23</v>
      </c>
      <c r="F3930" t="s">
        <v>44</v>
      </c>
      <c r="G3930">
        <v>2013</v>
      </c>
      <c r="H3930" t="s">
        <v>1261</v>
      </c>
      <c r="I3930" t="s">
        <v>6451</v>
      </c>
      <c r="J3930" t="s">
        <v>9658</v>
      </c>
      <c r="K3930" t="s">
        <v>25</v>
      </c>
      <c r="L3930" t="s">
        <v>26</v>
      </c>
      <c r="M3930" t="b">
        <v>1</v>
      </c>
      <c r="N3930" t="s">
        <v>6880</v>
      </c>
      <c r="O3930" t="str">
        <f>"241"</f>
        <v>241</v>
      </c>
      <c r="Q3930" t="b">
        <v>0</v>
      </c>
      <c r="S3930" t="str">
        <f>"9780310513995"</f>
        <v>9780310513995</v>
      </c>
      <c r="T3930" t="str">
        <f>"9780310514008"</f>
        <v>9780310514008</v>
      </c>
      <c r="U3930" t="b">
        <v>0</v>
      </c>
      <c r="W3930" t="b">
        <v>0</v>
      </c>
    </row>
    <row r="3931" spans="1:23" x14ac:dyDescent="0.3">
      <c r="A3931">
        <v>1524679</v>
      </c>
      <c r="B3931">
        <v>96.57</v>
      </c>
      <c r="C3931" t="s">
        <v>9659</v>
      </c>
      <c r="D3931" t="s">
        <v>9660</v>
      </c>
      <c r="E3931" t="s">
        <v>49</v>
      </c>
      <c r="F3931" t="s">
        <v>106</v>
      </c>
      <c r="G3931">
        <v>1992</v>
      </c>
      <c r="H3931" t="s">
        <v>71</v>
      </c>
      <c r="I3931" t="s">
        <v>9106</v>
      </c>
      <c r="J3931" t="s">
        <v>9661</v>
      </c>
      <c r="K3931" t="s">
        <v>25</v>
      </c>
      <c r="L3931" t="s">
        <v>26</v>
      </c>
      <c r="M3931" t="b">
        <v>1</v>
      </c>
      <c r="N3931" t="s">
        <v>9662</v>
      </c>
      <c r="O3931" t="str">
        <f>"230/.046"</f>
        <v>230/.046</v>
      </c>
      <c r="Q3931" t="b">
        <v>0</v>
      </c>
      <c r="S3931" t="str">
        <f>"9780310346111"</f>
        <v>9780310346111</v>
      </c>
      <c r="T3931" t="str">
        <f>"9780310877400"</f>
        <v>9780310877400</v>
      </c>
      <c r="U3931" t="b">
        <v>0</v>
      </c>
      <c r="W3931" t="b">
        <v>0</v>
      </c>
    </row>
    <row r="3932" spans="1:23" x14ac:dyDescent="0.3">
      <c r="A3932">
        <v>1524678</v>
      </c>
      <c r="B3932">
        <v>68.97</v>
      </c>
      <c r="C3932" t="s">
        <v>9663</v>
      </c>
      <c r="D3932" t="s">
        <v>9664</v>
      </c>
      <c r="E3932" t="s">
        <v>23</v>
      </c>
      <c r="F3932" t="s">
        <v>106</v>
      </c>
      <c r="G3932">
        <v>2014</v>
      </c>
      <c r="H3932" t="s">
        <v>830</v>
      </c>
      <c r="I3932" t="s">
        <v>5782</v>
      </c>
      <c r="K3932" t="s">
        <v>25</v>
      </c>
      <c r="L3932" t="s">
        <v>26</v>
      </c>
      <c r="M3932" t="b">
        <v>1</v>
      </c>
      <c r="N3932" t="s">
        <v>9665</v>
      </c>
      <c r="O3932" t="str">
        <f>"227/.107"</f>
        <v>227/.107</v>
      </c>
      <c r="Q3932" t="b">
        <v>0</v>
      </c>
      <c r="S3932" t="str">
        <f>"9780310515425"</f>
        <v>9780310515425</v>
      </c>
      <c r="T3932" t="str">
        <f>"9780310515432"</f>
        <v>9780310515432</v>
      </c>
      <c r="U3932" t="b">
        <v>0</v>
      </c>
      <c r="W3932" t="b">
        <v>0</v>
      </c>
    </row>
    <row r="3933" spans="1:23" x14ac:dyDescent="0.3">
      <c r="A3933">
        <v>1524677</v>
      </c>
      <c r="B3933">
        <v>65.52</v>
      </c>
      <c r="C3933" t="s">
        <v>9666</v>
      </c>
      <c r="D3933" t="s">
        <v>9667</v>
      </c>
      <c r="E3933" t="s">
        <v>49</v>
      </c>
      <c r="F3933" t="s">
        <v>44</v>
      </c>
      <c r="G3933">
        <v>2013</v>
      </c>
      <c r="H3933" t="s">
        <v>1122</v>
      </c>
      <c r="I3933" t="s">
        <v>9668</v>
      </c>
      <c r="J3933" t="s">
        <v>7869</v>
      </c>
      <c r="K3933" t="s">
        <v>25</v>
      </c>
      <c r="L3933" t="s">
        <v>26</v>
      </c>
      <c r="M3933" t="b">
        <v>1</v>
      </c>
      <c r="N3933" t="s">
        <v>9669</v>
      </c>
      <c r="O3933" t="str">
        <f>"253"</f>
        <v>253</v>
      </c>
      <c r="P3933" t="s">
        <v>5851</v>
      </c>
      <c r="Q3933" t="b">
        <v>0</v>
      </c>
      <c r="S3933" t="str">
        <f>"9780310492627"</f>
        <v>9780310492627</v>
      </c>
      <c r="T3933" t="str">
        <f>"9780310492634"</f>
        <v>9780310492634</v>
      </c>
      <c r="U3933" t="b">
        <v>0</v>
      </c>
      <c r="W3933" t="b">
        <v>0</v>
      </c>
    </row>
    <row r="3934" spans="1:23" x14ac:dyDescent="0.3">
      <c r="A3934">
        <v>1524676</v>
      </c>
      <c r="B3934">
        <v>42.61</v>
      </c>
      <c r="C3934" t="s">
        <v>9670</v>
      </c>
      <c r="D3934" t="s">
        <v>9671</v>
      </c>
      <c r="E3934" t="s">
        <v>23</v>
      </c>
      <c r="F3934" t="s">
        <v>106</v>
      </c>
      <c r="G3934">
        <v>2010</v>
      </c>
      <c r="H3934" t="s">
        <v>734</v>
      </c>
      <c r="K3934" t="s">
        <v>25</v>
      </c>
      <c r="L3934" t="s">
        <v>30</v>
      </c>
      <c r="M3934" t="b">
        <v>1</v>
      </c>
      <c r="N3934" t="s">
        <v>9672</v>
      </c>
      <c r="Q3934" t="b">
        <v>0</v>
      </c>
      <c r="S3934" t="str">
        <f>"9780310326809"</f>
        <v>9780310326809</v>
      </c>
      <c r="T3934" t="str">
        <f>"9780310571971"</f>
        <v>9780310571971</v>
      </c>
      <c r="U3934" t="b">
        <v>0</v>
      </c>
      <c r="W3934" t="b">
        <v>0</v>
      </c>
    </row>
    <row r="3935" spans="1:23" x14ac:dyDescent="0.3">
      <c r="A3935">
        <v>1524675</v>
      </c>
      <c r="B3935">
        <v>44.82</v>
      </c>
      <c r="C3935" t="s">
        <v>9673</v>
      </c>
      <c r="E3935" t="s">
        <v>49</v>
      </c>
      <c r="F3935" t="s">
        <v>44</v>
      </c>
      <c r="G3935">
        <v>2007</v>
      </c>
      <c r="H3935" t="s">
        <v>7908</v>
      </c>
      <c r="I3935" t="s">
        <v>9674</v>
      </c>
      <c r="K3935" t="s">
        <v>25</v>
      </c>
      <c r="L3935" t="s">
        <v>26</v>
      </c>
      <c r="M3935" t="b">
        <v>1</v>
      </c>
      <c r="N3935" t="s">
        <v>9675</v>
      </c>
      <c r="O3935" t="str">
        <f>"220.1/503"</f>
        <v>220.1/503</v>
      </c>
      <c r="Q3935" t="b">
        <v>0</v>
      </c>
      <c r="S3935" t="str">
        <f>"9780310256632"</f>
        <v>9780310256632</v>
      </c>
      <c r="T3935" t="str">
        <f>"9780310571049"</f>
        <v>9780310571049</v>
      </c>
      <c r="U3935" t="b">
        <v>0</v>
      </c>
      <c r="W3935" t="b">
        <v>0</v>
      </c>
    </row>
    <row r="3936" spans="1:23" x14ac:dyDescent="0.3">
      <c r="A3936">
        <v>1524674</v>
      </c>
      <c r="B3936">
        <v>155.22</v>
      </c>
      <c r="C3936" t="s">
        <v>8457</v>
      </c>
      <c r="E3936" t="s">
        <v>49</v>
      </c>
      <c r="F3936" t="s">
        <v>106</v>
      </c>
      <c r="G3936">
        <v>2012</v>
      </c>
      <c r="H3936" t="s">
        <v>6356</v>
      </c>
      <c r="I3936" t="s">
        <v>9676</v>
      </c>
      <c r="K3936" t="s">
        <v>25</v>
      </c>
      <c r="L3936" t="s">
        <v>30</v>
      </c>
      <c r="M3936" t="b">
        <v>1</v>
      </c>
      <c r="N3936" t="s">
        <v>9677</v>
      </c>
      <c r="O3936" t="str">
        <f>"222/.15077"</f>
        <v>222/.15077</v>
      </c>
      <c r="P3936" t="s">
        <v>6300</v>
      </c>
      <c r="Q3936" t="b">
        <v>0</v>
      </c>
      <c r="S3936" t="str">
        <f>"9780310210481"</f>
        <v>9780310210481</v>
      </c>
      <c r="T3936" t="str">
        <f>"9780310492016"</f>
        <v>9780310492016</v>
      </c>
      <c r="U3936" t="b">
        <v>0</v>
      </c>
      <c r="W3936" t="b">
        <v>0</v>
      </c>
    </row>
    <row r="3937" spans="1:23" x14ac:dyDescent="0.3">
      <c r="A3937">
        <v>1524673</v>
      </c>
      <c r="B3937">
        <v>71.03</v>
      </c>
      <c r="C3937" t="s">
        <v>7214</v>
      </c>
      <c r="D3937" t="s">
        <v>7215</v>
      </c>
      <c r="E3937" t="s">
        <v>49</v>
      </c>
      <c r="F3937" t="s">
        <v>44</v>
      </c>
      <c r="G3937">
        <v>2012</v>
      </c>
      <c r="H3937" t="s">
        <v>5369</v>
      </c>
      <c r="I3937" t="s">
        <v>9678</v>
      </c>
      <c r="J3937" t="s">
        <v>7217</v>
      </c>
      <c r="K3937" t="s">
        <v>25</v>
      </c>
      <c r="L3937" t="s">
        <v>30</v>
      </c>
      <c r="M3937" t="b">
        <v>1</v>
      </c>
      <c r="N3937" t="s">
        <v>795</v>
      </c>
      <c r="O3937" t="str">
        <f>"253"</f>
        <v>253</v>
      </c>
      <c r="Q3937" t="b">
        <v>0</v>
      </c>
      <c r="S3937" t="str">
        <f>"9780310494843"</f>
        <v>9780310494843</v>
      </c>
      <c r="T3937" t="str">
        <f>"9780310494850"</f>
        <v>9780310494850</v>
      </c>
      <c r="U3937" t="b">
        <v>0</v>
      </c>
      <c r="W3937" t="b">
        <v>0</v>
      </c>
    </row>
    <row r="3938" spans="1:23" x14ac:dyDescent="0.3">
      <c r="A3938">
        <v>1524672</v>
      </c>
      <c r="B3938">
        <v>137.97</v>
      </c>
      <c r="C3938" t="s">
        <v>9679</v>
      </c>
      <c r="D3938" t="s">
        <v>9680</v>
      </c>
      <c r="E3938" t="s">
        <v>49</v>
      </c>
      <c r="F3938" t="s">
        <v>44</v>
      </c>
      <c r="G3938">
        <v>1987</v>
      </c>
      <c r="H3938" t="s">
        <v>751</v>
      </c>
      <c r="I3938" t="s">
        <v>9681</v>
      </c>
      <c r="J3938" t="s">
        <v>9682</v>
      </c>
      <c r="K3938" t="s">
        <v>25</v>
      </c>
      <c r="L3938" t="s">
        <v>30</v>
      </c>
      <c r="M3938" t="b">
        <v>1</v>
      </c>
      <c r="N3938" t="s">
        <v>9683</v>
      </c>
      <c r="O3938" t="str">
        <f>"270/.088042"</f>
        <v>270/.088042</v>
      </c>
      <c r="Q3938" t="b">
        <v>0</v>
      </c>
      <c r="S3938" t="str">
        <f>"9780310457411"</f>
        <v>9780310457411</v>
      </c>
      <c r="T3938" t="str">
        <f>"9780310877462"</f>
        <v>9780310877462</v>
      </c>
      <c r="U3938" t="b">
        <v>0</v>
      </c>
      <c r="W3938" t="b">
        <v>0</v>
      </c>
    </row>
    <row r="3939" spans="1:23" x14ac:dyDescent="0.3">
      <c r="A3939">
        <v>1524671</v>
      </c>
      <c r="B3939">
        <v>65.52</v>
      </c>
      <c r="C3939" t="s">
        <v>9684</v>
      </c>
      <c r="D3939" t="s">
        <v>9685</v>
      </c>
      <c r="E3939" t="s">
        <v>49</v>
      </c>
      <c r="F3939" t="s">
        <v>44</v>
      </c>
      <c r="G3939">
        <v>2014</v>
      </c>
      <c r="H3939" t="s">
        <v>804</v>
      </c>
      <c r="I3939" t="s">
        <v>1226</v>
      </c>
      <c r="J3939" t="s">
        <v>9686</v>
      </c>
      <c r="K3939" t="s">
        <v>25</v>
      </c>
      <c r="L3939" t="s">
        <v>30</v>
      </c>
      <c r="M3939" t="b">
        <v>1</v>
      </c>
      <c r="N3939" t="s">
        <v>9687</v>
      </c>
      <c r="O3939" t="str">
        <f>"253.082"</f>
        <v>253.082</v>
      </c>
      <c r="Q3939" t="b">
        <v>0</v>
      </c>
      <c r="S3939" t="str">
        <f>"9780310514442"</f>
        <v>9780310514442</v>
      </c>
      <c r="T3939" t="str">
        <f>"9780310514459"</f>
        <v>9780310514459</v>
      </c>
      <c r="U3939" t="b">
        <v>0</v>
      </c>
      <c r="W3939" t="b">
        <v>0</v>
      </c>
    </row>
    <row r="3940" spans="1:23" x14ac:dyDescent="0.3">
      <c r="A3940">
        <v>1524670</v>
      </c>
      <c r="B3940">
        <v>49.71</v>
      </c>
      <c r="C3940" t="s">
        <v>9688</v>
      </c>
      <c r="E3940" t="s">
        <v>49</v>
      </c>
      <c r="F3940" t="s">
        <v>106</v>
      </c>
      <c r="G3940">
        <v>2008</v>
      </c>
      <c r="H3940" t="s">
        <v>817</v>
      </c>
      <c r="I3940" t="s">
        <v>9534</v>
      </c>
      <c r="K3940" t="s">
        <v>25</v>
      </c>
      <c r="L3940" t="s">
        <v>30</v>
      </c>
      <c r="M3940" t="b">
        <v>1</v>
      </c>
      <c r="N3940" t="s">
        <v>9689</v>
      </c>
      <c r="O3940" t="str">
        <f>"220.7"</f>
        <v>220.7</v>
      </c>
      <c r="P3940" t="s">
        <v>8445</v>
      </c>
      <c r="Q3940" t="b">
        <v>0</v>
      </c>
      <c r="T3940" t="str">
        <f>"9780310531968"</f>
        <v>9780310531968</v>
      </c>
      <c r="U3940" t="b">
        <v>0</v>
      </c>
      <c r="W3940" t="b">
        <v>0</v>
      </c>
    </row>
    <row r="3941" spans="1:23" x14ac:dyDescent="0.3">
      <c r="A3941">
        <v>1524669</v>
      </c>
      <c r="B3941">
        <v>103.47</v>
      </c>
      <c r="C3941" t="s">
        <v>3428</v>
      </c>
      <c r="E3941" t="s">
        <v>49</v>
      </c>
      <c r="F3941" t="s">
        <v>106</v>
      </c>
      <c r="G3941">
        <v>1999</v>
      </c>
      <c r="H3941" t="s">
        <v>927</v>
      </c>
      <c r="I3941" t="s">
        <v>8526</v>
      </c>
      <c r="K3941" t="s">
        <v>25</v>
      </c>
      <c r="L3941" t="s">
        <v>30</v>
      </c>
      <c r="M3941" t="b">
        <v>1</v>
      </c>
      <c r="N3941" t="s">
        <v>6765</v>
      </c>
      <c r="O3941" t="str">
        <f>"224/.5077"</f>
        <v>224/.5077</v>
      </c>
      <c r="P3941" t="s">
        <v>9343</v>
      </c>
      <c r="Q3941" t="b">
        <v>0</v>
      </c>
      <c r="S3941" t="str">
        <f>"9780310206088"</f>
        <v>9780310206088</v>
      </c>
      <c r="T3941" t="str">
        <f>"9780310871927"</f>
        <v>9780310871927</v>
      </c>
      <c r="U3941" t="b">
        <v>0</v>
      </c>
      <c r="W3941" t="b">
        <v>0</v>
      </c>
    </row>
    <row r="3942" spans="1:23" x14ac:dyDescent="0.3">
      <c r="A3942">
        <v>1524668</v>
      </c>
      <c r="B3942">
        <v>55.17</v>
      </c>
      <c r="C3942" t="s">
        <v>9690</v>
      </c>
      <c r="D3942" t="s">
        <v>9691</v>
      </c>
      <c r="E3942" t="s">
        <v>49</v>
      </c>
      <c r="F3942" t="s">
        <v>106</v>
      </c>
      <c r="G3942">
        <v>2010</v>
      </c>
      <c r="H3942" t="s">
        <v>71</v>
      </c>
      <c r="I3942" t="s">
        <v>9692</v>
      </c>
      <c r="J3942" t="s">
        <v>895</v>
      </c>
      <c r="K3942" t="s">
        <v>25</v>
      </c>
      <c r="L3942" t="s">
        <v>30</v>
      </c>
      <c r="M3942" t="b">
        <v>1</v>
      </c>
      <c r="N3942" t="s">
        <v>6560</v>
      </c>
      <c r="O3942" t="str">
        <f>"231.7/6"</f>
        <v>231.7/6</v>
      </c>
      <c r="Q3942" t="b">
        <v>0</v>
      </c>
      <c r="S3942" t="str">
        <f>"9780310577515"</f>
        <v>9780310577515</v>
      </c>
      <c r="T3942" t="str">
        <f>"9780310877608"</f>
        <v>9780310877608</v>
      </c>
      <c r="U3942" t="b">
        <v>0</v>
      </c>
      <c r="W3942" t="b">
        <v>0</v>
      </c>
    </row>
    <row r="3943" spans="1:23" x14ac:dyDescent="0.3">
      <c r="A3943">
        <v>1524667</v>
      </c>
      <c r="B3943">
        <v>51.72</v>
      </c>
      <c r="C3943" t="s">
        <v>9693</v>
      </c>
      <c r="D3943" t="s">
        <v>9694</v>
      </c>
      <c r="E3943" t="s">
        <v>49</v>
      </c>
      <c r="F3943" t="s">
        <v>44</v>
      </c>
      <c r="G3943">
        <v>2002</v>
      </c>
      <c r="H3943" t="s">
        <v>52</v>
      </c>
      <c r="I3943" t="s">
        <v>9695</v>
      </c>
      <c r="J3943" t="s">
        <v>9696</v>
      </c>
      <c r="K3943" t="s">
        <v>25</v>
      </c>
      <c r="L3943" t="s">
        <v>30</v>
      </c>
      <c r="M3943" t="b">
        <v>1</v>
      </c>
      <c r="N3943" t="s">
        <v>3890</v>
      </c>
      <c r="O3943" t="str">
        <f>"259/.089/96073"</f>
        <v>259/.089/96073</v>
      </c>
      <c r="Q3943" t="b">
        <v>0</v>
      </c>
      <c r="S3943" t="str">
        <f>"9780310278436"</f>
        <v>9780310278436</v>
      </c>
      <c r="T3943" t="str">
        <f>"9780310865933"</f>
        <v>9780310865933</v>
      </c>
      <c r="U3943" t="b">
        <v>0</v>
      </c>
      <c r="W3943" t="b">
        <v>0</v>
      </c>
    </row>
    <row r="3944" spans="1:23" x14ac:dyDescent="0.3">
      <c r="A3944">
        <v>1524666</v>
      </c>
      <c r="B3944">
        <v>86.22</v>
      </c>
      <c r="C3944" t="s">
        <v>9697</v>
      </c>
      <c r="D3944" t="s">
        <v>9698</v>
      </c>
      <c r="E3944" t="s">
        <v>49</v>
      </c>
      <c r="F3944" t="s">
        <v>44</v>
      </c>
      <c r="G3944">
        <v>2009</v>
      </c>
      <c r="H3944" t="s">
        <v>52</v>
      </c>
      <c r="I3944" t="s">
        <v>3748</v>
      </c>
      <c r="J3944" t="s">
        <v>9699</v>
      </c>
      <c r="K3944" t="s">
        <v>25</v>
      </c>
      <c r="L3944" t="s">
        <v>30</v>
      </c>
      <c r="M3944" t="b">
        <v>1</v>
      </c>
      <c r="N3944" t="s">
        <v>7983</v>
      </c>
      <c r="O3944" t="str">
        <f>"253.5"</f>
        <v>253.5</v>
      </c>
      <c r="P3944" t="s">
        <v>9099</v>
      </c>
      <c r="Q3944" t="b">
        <v>0</v>
      </c>
      <c r="S3944" t="str">
        <f>"9780310511403"</f>
        <v>9780310511403</v>
      </c>
      <c r="T3944" t="str">
        <f>"9780310829546"</f>
        <v>9780310829546</v>
      </c>
      <c r="U3944" t="b">
        <v>0</v>
      </c>
      <c r="W3944" t="b">
        <v>0</v>
      </c>
    </row>
    <row r="3945" spans="1:23" x14ac:dyDescent="0.3">
      <c r="A3945">
        <v>1524665</v>
      </c>
      <c r="B3945">
        <v>41.37</v>
      </c>
      <c r="C3945" t="s">
        <v>9700</v>
      </c>
      <c r="D3945" t="s">
        <v>9701</v>
      </c>
      <c r="E3945" t="s">
        <v>49</v>
      </c>
      <c r="F3945" t="s">
        <v>44</v>
      </c>
      <c r="G3945">
        <v>2015</v>
      </c>
      <c r="H3945" t="s">
        <v>71</v>
      </c>
      <c r="I3945" t="s">
        <v>9702</v>
      </c>
      <c r="J3945" t="s">
        <v>9703</v>
      </c>
      <c r="K3945" t="s">
        <v>25</v>
      </c>
      <c r="L3945" t="s">
        <v>30</v>
      </c>
      <c r="M3945" t="b">
        <v>1</v>
      </c>
      <c r="N3945" t="s">
        <v>9704</v>
      </c>
      <c r="O3945" t="str">
        <f>"270.8/3091732"</f>
        <v>270.8/3091732</v>
      </c>
      <c r="P3945" t="s">
        <v>9025</v>
      </c>
      <c r="Q3945" t="b">
        <v>0</v>
      </c>
      <c r="S3945" t="str">
        <f>"9780310516019"</f>
        <v>9780310516019</v>
      </c>
      <c r="T3945" t="str">
        <f>"9780310516026"</f>
        <v>9780310516026</v>
      </c>
      <c r="U3945" t="b">
        <v>0</v>
      </c>
      <c r="W3945" t="b">
        <v>0</v>
      </c>
    </row>
    <row r="3946" spans="1:23" x14ac:dyDescent="0.3">
      <c r="A3946">
        <v>1524664</v>
      </c>
      <c r="B3946">
        <v>58.62</v>
      </c>
      <c r="C3946" t="s">
        <v>9705</v>
      </c>
      <c r="D3946" t="s">
        <v>9706</v>
      </c>
      <c r="E3946" t="s">
        <v>49</v>
      </c>
      <c r="F3946" t="s">
        <v>106</v>
      </c>
      <c r="G3946">
        <v>2010</v>
      </c>
      <c r="H3946" t="s">
        <v>71</v>
      </c>
      <c r="I3946" t="s">
        <v>9707</v>
      </c>
      <c r="J3946" t="s">
        <v>9708</v>
      </c>
      <c r="K3946" t="s">
        <v>25</v>
      </c>
      <c r="L3946" t="s">
        <v>26</v>
      </c>
      <c r="M3946" t="b">
        <v>1</v>
      </c>
      <c r="N3946" t="s">
        <v>6535</v>
      </c>
      <c r="O3946" t="str">
        <f>"236"</f>
        <v>236</v>
      </c>
      <c r="Q3946" t="b">
        <v>0</v>
      </c>
      <c r="S3946" t="str">
        <f>"9780310254010"</f>
        <v>9780310254010</v>
      </c>
      <c r="T3946" t="str">
        <f>"9780310877493"</f>
        <v>9780310877493</v>
      </c>
      <c r="U3946" t="b">
        <v>0</v>
      </c>
      <c r="W3946" t="b">
        <v>0</v>
      </c>
    </row>
    <row r="3947" spans="1:23" x14ac:dyDescent="0.3">
      <c r="A3947">
        <v>1524663</v>
      </c>
      <c r="B3947">
        <v>62.07</v>
      </c>
      <c r="C3947" t="s">
        <v>9709</v>
      </c>
      <c r="E3947" t="s">
        <v>49</v>
      </c>
      <c r="F3947" t="s">
        <v>106</v>
      </c>
      <c r="G3947">
        <v>2010</v>
      </c>
      <c r="H3947" t="s">
        <v>76</v>
      </c>
      <c r="I3947" t="s">
        <v>9710</v>
      </c>
      <c r="K3947" t="s">
        <v>25</v>
      </c>
      <c r="L3947" t="s">
        <v>26</v>
      </c>
      <c r="M3947" t="b">
        <v>1</v>
      </c>
      <c r="N3947" t="s">
        <v>9711</v>
      </c>
      <c r="O3947" t="str">
        <f>"232.9/01"</f>
        <v>232.9/01</v>
      </c>
      <c r="Q3947" t="b">
        <v>0</v>
      </c>
      <c r="S3947" t="str">
        <f>"9780310262114"</f>
        <v>9780310262114</v>
      </c>
      <c r="T3947" t="str">
        <f>"9780310877103"</f>
        <v>9780310877103</v>
      </c>
      <c r="U3947" t="b">
        <v>0</v>
      </c>
      <c r="V3947" t="s">
        <v>9712</v>
      </c>
      <c r="W3947" t="b">
        <v>0</v>
      </c>
    </row>
    <row r="3948" spans="1:23" x14ac:dyDescent="0.3">
      <c r="A3948">
        <v>1524662</v>
      </c>
      <c r="B3948">
        <v>79.319999999999993</v>
      </c>
      <c r="C3948" t="s">
        <v>9713</v>
      </c>
      <c r="D3948" t="s">
        <v>6351</v>
      </c>
      <c r="E3948" t="s">
        <v>49</v>
      </c>
      <c r="F3948" t="s">
        <v>106</v>
      </c>
      <c r="G3948">
        <v>2013</v>
      </c>
      <c r="H3948" t="s">
        <v>2603</v>
      </c>
      <c r="I3948" t="s">
        <v>1167</v>
      </c>
      <c r="K3948" t="s">
        <v>25</v>
      </c>
      <c r="L3948" t="s">
        <v>26</v>
      </c>
      <c r="M3948" t="b">
        <v>1</v>
      </c>
      <c r="N3948" t="s">
        <v>9714</v>
      </c>
      <c r="O3948" t="str">
        <f>"232"</f>
        <v>232</v>
      </c>
      <c r="Q3948" t="b">
        <v>0</v>
      </c>
      <c r="S3948" t="str">
        <f>"9780310514961"</f>
        <v>9780310514961</v>
      </c>
      <c r="T3948" t="str">
        <f>"9780310514978"</f>
        <v>9780310514978</v>
      </c>
      <c r="U3948" t="b">
        <v>0</v>
      </c>
      <c r="W3948" t="b">
        <v>0</v>
      </c>
    </row>
    <row r="3949" spans="1:23" x14ac:dyDescent="0.3">
      <c r="A3949">
        <v>1524661</v>
      </c>
      <c r="B3949">
        <v>86.22</v>
      </c>
      <c r="C3949" t="s">
        <v>9715</v>
      </c>
      <c r="D3949" t="s">
        <v>9716</v>
      </c>
      <c r="E3949" t="s">
        <v>49</v>
      </c>
      <c r="F3949" t="s">
        <v>106</v>
      </c>
      <c r="G3949">
        <v>2013</v>
      </c>
      <c r="H3949" t="s">
        <v>76</v>
      </c>
      <c r="I3949" t="s">
        <v>9717</v>
      </c>
      <c r="J3949" t="s">
        <v>9718</v>
      </c>
      <c r="K3949" t="s">
        <v>25</v>
      </c>
      <c r="L3949" t="s">
        <v>26</v>
      </c>
      <c r="M3949" t="b">
        <v>1</v>
      </c>
      <c r="N3949" t="s">
        <v>9719</v>
      </c>
      <c r="O3949" t="str">
        <f>"248/.6"</f>
        <v>248/.6</v>
      </c>
      <c r="P3949" t="s">
        <v>6637</v>
      </c>
      <c r="Q3949" t="b">
        <v>0</v>
      </c>
      <c r="S3949" t="str">
        <f>"9780310318989"</f>
        <v>9780310318989</v>
      </c>
      <c r="T3949" t="str">
        <f>"9780310416593"</f>
        <v>9780310416593</v>
      </c>
      <c r="U3949" t="b">
        <v>0</v>
      </c>
      <c r="W3949" t="b">
        <v>0</v>
      </c>
    </row>
    <row r="3950" spans="1:23" x14ac:dyDescent="0.3">
      <c r="A3950">
        <v>1524660</v>
      </c>
      <c r="B3950">
        <v>155.22</v>
      </c>
      <c r="C3950" t="s">
        <v>9720</v>
      </c>
      <c r="D3950" t="s">
        <v>9721</v>
      </c>
      <c r="E3950" t="s">
        <v>49</v>
      </c>
      <c r="F3950" t="s">
        <v>106</v>
      </c>
      <c r="G3950">
        <v>2009</v>
      </c>
      <c r="H3950" t="s">
        <v>6334</v>
      </c>
      <c r="I3950" t="s">
        <v>6587</v>
      </c>
      <c r="J3950" t="s">
        <v>6336</v>
      </c>
      <c r="K3950" t="s">
        <v>25</v>
      </c>
      <c r="L3950" t="s">
        <v>30</v>
      </c>
      <c r="M3950" t="b">
        <v>1</v>
      </c>
      <c r="N3950" t="s">
        <v>9722</v>
      </c>
      <c r="O3950" t="str">
        <f>"270"</f>
        <v>270</v>
      </c>
      <c r="Q3950" t="b">
        <v>0</v>
      </c>
      <c r="S3950" t="str">
        <f>"9780310208129"</f>
        <v>9780310208129</v>
      </c>
      <c r="T3950" t="str">
        <f>"9780310829300"</f>
        <v>9780310829300</v>
      </c>
      <c r="U3950" t="b">
        <v>0</v>
      </c>
      <c r="V3950" t="s">
        <v>9723</v>
      </c>
      <c r="W3950" t="b">
        <v>0</v>
      </c>
    </row>
    <row r="3951" spans="1:23" x14ac:dyDescent="0.3">
      <c r="A3951">
        <v>1524657</v>
      </c>
      <c r="B3951">
        <v>155.22</v>
      </c>
      <c r="C3951" t="s">
        <v>9724</v>
      </c>
      <c r="D3951" t="s">
        <v>9725</v>
      </c>
      <c r="E3951" t="s">
        <v>49</v>
      </c>
      <c r="F3951" t="s">
        <v>106</v>
      </c>
      <c r="G3951">
        <v>2012</v>
      </c>
      <c r="H3951" t="s">
        <v>70</v>
      </c>
      <c r="I3951" t="s">
        <v>6422</v>
      </c>
      <c r="J3951" t="s">
        <v>9726</v>
      </c>
      <c r="K3951" t="s">
        <v>25</v>
      </c>
      <c r="L3951" t="s">
        <v>30</v>
      </c>
      <c r="M3951" t="b">
        <v>1</v>
      </c>
      <c r="N3951" t="s">
        <v>9727</v>
      </c>
      <c r="O3951" t="str">
        <f>"239"</f>
        <v>239</v>
      </c>
      <c r="Q3951" t="b">
        <v>0</v>
      </c>
      <c r="S3951" t="str">
        <f>"9780310325338"</f>
        <v>9780310325338</v>
      </c>
      <c r="T3951" t="str">
        <f>"9780310589686"</f>
        <v>9780310589686</v>
      </c>
      <c r="U3951" t="b">
        <v>0</v>
      </c>
      <c r="W3951" t="b">
        <v>0</v>
      </c>
    </row>
    <row r="3952" spans="1:23" x14ac:dyDescent="0.3">
      <c r="A3952">
        <v>1524656</v>
      </c>
      <c r="B3952">
        <v>103.47</v>
      </c>
      <c r="C3952" t="s">
        <v>9728</v>
      </c>
      <c r="D3952" t="s">
        <v>9729</v>
      </c>
      <c r="E3952" t="s">
        <v>49</v>
      </c>
      <c r="F3952" t="s">
        <v>106</v>
      </c>
      <c r="G3952">
        <v>2000</v>
      </c>
      <c r="H3952" t="s">
        <v>52</v>
      </c>
      <c r="I3952" t="s">
        <v>6884</v>
      </c>
      <c r="J3952" t="s">
        <v>9730</v>
      </c>
      <c r="K3952" t="s">
        <v>25</v>
      </c>
      <c r="L3952" t="s">
        <v>30</v>
      </c>
      <c r="M3952" t="b">
        <v>1</v>
      </c>
      <c r="N3952" t="s">
        <v>9731</v>
      </c>
      <c r="O3952" t="str">
        <f>"261.5/15"</f>
        <v>261.5/15</v>
      </c>
      <c r="Q3952" t="b">
        <v>0</v>
      </c>
      <c r="S3952" t="str">
        <f>"9780310231134"</f>
        <v>9780310231134</v>
      </c>
      <c r="T3952" t="str">
        <f>"9780310861331"</f>
        <v>9780310861331</v>
      </c>
      <c r="U3952" t="b">
        <v>0</v>
      </c>
      <c r="W3952" t="b">
        <v>0</v>
      </c>
    </row>
    <row r="3953" spans="1:23" x14ac:dyDescent="0.3">
      <c r="A3953">
        <v>1524655</v>
      </c>
      <c r="B3953">
        <v>58.62</v>
      </c>
      <c r="C3953" t="s">
        <v>9732</v>
      </c>
      <c r="D3953" t="s">
        <v>9733</v>
      </c>
      <c r="E3953" t="s">
        <v>49</v>
      </c>
      <c r="F3953" t="s">
        <v>106</v>
      </c>
      <c r="G3953">
        <v>2015</v>
      </c>
      <c r="H3953" t="s">
        <v>9734</v>
      </c>
      <c r="I3953" t="s">
        <v>9735</v>
      </c>
      <c r="J3953" t="s">
        <v>9736</v>
      </c>
      <c r="K3953" t="s">
        <v>25</v>
      </c>
      <c r="L3953" t="s">
        <v>26</v>
      </c>
      <c r="M3953" t="b">
        <v>1</v>
      </c>
      <c r="N3953" t="s">
        <v>6923</v>
      </c>
      <c r="O3953" t="str">
        <f>"371.33/44678"</f>
        <v>371.33/44678</v>
      </c>
      <c r="Q3953" t="b">
        <v>0</v>
      </c>
      <c r="S3953" t="str">
        <f>"9780310520306"</f>
        <v>9780310520306</v>
      </c>
      <c r="T3953" t="str">
        <f>"9780310520320"</f>
        <v>9780310520320</v>
      </c>
      <c r="U3953" t="b">
        <v>0</v>
      </c>
      <c r="W3953" t="b">
        <v>0</v>
      </c>
    </row>
    <row r="3954" spans="1:23" x14ac:dyDescent="0.3">
      <c r="A3954">
        <v>1524654</v>
      </c>
      <c r="B3954">
        <v>127.62</v>
      </c>
      <c r="C3954" t="s">
        <v>9737</v>
      </c>
      <c r="E3954" t="s">
        <v>49</v>
      </c>
      <c r="F3954" t="s">
        <v>106</v>
      </c>
      <c r="G3954">
        <v>2009</v>
      </c>
      <c r="H3954" t="s">
        <v>71</v>
      </c>
      <c r="I3954" t="s">
        <v>6635</v>
      </c>
      <c r="K3954" t="s">
        <v>25</v>
      </c>
      <c r="L3954" t="s">
        <v>26</v>
      </c>
      <c r="M3954" t="b">
        <v>1</v>
      </c>
      <c r="N3954" t="s">
        <v>9738</v>
      </c>
      <c r="O3954" t="str">
        <f>"220.1/2"</f>
        <v>220.1/2</v>
      </c>
      <c r="P3954" t="s">
        <v>9739</v>
      </c>
      <c r="Q3954" t="b">
        <v>0</v>
      </c>
      <c r="S3954" t="str">
        <f>"9780310234173"</f>
        <v>9780310234173</v>
      </c>
      <c r="T3954" t="str">
        <f>"9780310865834"</f>
        <v>9780310865834</v>
      </c>
      <c r="U3954" t="b">
        <v>0</v>
      </c>
      <c r="W3954" t="b">
        <v>0</v>
      </c>
    </row>
    <row r="3955" spans="1:23" x14ac:dyDescent="0.3">
      <c r="A3955">
        <v>1524653</v>
      </c>
      <c r="B3955">
        <v>42.61</v>
      </c>
      <c r="C3955" t="s">
        <v>9740</v>
      </c>
      <c r="E3955" t="s">
        <v>49</v>
      </c>
      <c r="F3955" t="s">
        <v>106</v>
      </c>
      <c r="G3955">
        <v>2012</v>
      </c>
      <c r="H3955" t="s">
        <v>881</v>
      </c>
      <c r="I3955" t="s">
        <v>9741</v>
      </c>
      <c r="J3955" t="s">
        <v>895</v>
      </c>
      <c r="K3955" t="s">
        <v>25</v>
      </c>
      <c r="L3955" t="s">
        <v>26</v>
      </c>
      <c r="M3955" t="b">
        <v>1</v>
      </c>
      <c r="N3955" t="s">
        <v>9742</v>
      </c>
      <c r="O3955" t="str">
        <f>"270.1092/2"</f>
        <v>270.1092/2</v>
      </c>
      <c r="P3955" t="s">
        <v>9113</v>
      </c>
      <c r="Q3955" t="b">
        <v>0</v>
      </c>
      <c r="S3955" t="str">
        <f>"9780310318309"</f>
        <v>9780310318309</v>
      </c>
      <c r="T3955" t="str">
        <f>"9780310417439"</f>
        <v>9780310417439</v>
      </c>
      <c r="U3955" t="b">
        <v>0</v>
      </c>
      <c r="W3955" t="b">
        <v>0</v>
      </c>
    </row>
    <row r="3956" spans="1:23" x14ac:dyDescent="0.3">
      <c r="A3956">
        <v>1524652</v>
      </c>
      <c r="B3956">
        <v>10.63</v>
      </c>
      <c r="C3956" t="s">
        <v>9743</v>
      </c>
      <c r="D3956" t="s">
        <v>9744</v>
      </c>
      <c r="E3956" t="s">
        <v>49</v>
      </c>
      <c r="F3956" t="s">
        <v>44</v>
      </c>
      <c r="G3956">
        <v>2012</v>
      </c>
      <c r="H3956" t="s">
        <v>804</v>
      </c>
      <c r="I3956" t="s">
        <v>9745</v>
      </c>
      <c r="J3956" t="s">
        <v>9746</v>
      </c>
      <c r="K3956" t="s">
        <v>25</v>
      </c>
      <c r="L3956" t="s">
        <v>30</v>
      </c>
      <c r="M3956" t="b">
        <v>1</v>
      </c>
      <c r="N3956" t="s">
        <v>760</v>
      </c>
      <c r="O3956" t="str">
        <f>"261/.14082"</f>
        <v>261/.14082</v>
      </c>
      <c r="P3956" t="s">
        <v>9747</v>
      </c>
      <c r="Q3956" t="b">
        <v>0</v>
      </c>
      <c r="T3956" t="str">
        <f>"9780310498179"</f>
        <v>9780310498179</v>
      </c>
      <c r="U3956" t="b">
        <v>0</v>
      </c>
      <c r="W3956" t="b">
        <v>0</v>
      </c>
    </row>
    <row r="3957" spans="1:23" x14ac:dyDescent="0.3">
      <c r="A3957">
        <v>1524651</v>
      </c>
      <c r="B3957">
        <v>58.62</v>
      </c>
      <c r="C3957" t="s">
        <v>9748</v>
      </c>
      <c r="D3957" t="s">
        <v>9749</v>
      </c>
      <c r="E3957" t="s">
        <v>49</v>
      </c>
      <c r="F3957" t="s">
        <v>44</v>
      </c>
      <c r="G3957">
        <v>2013</v>
      </c>
      <c r="H3957" t="s">
        <v>99</v>
      </c>
      <c r="K3957" t="s">
        <v>25</v>
      </c>
      <c r="L3957" t="s">
        <v>26</v>
      </c>
      <c r="M3957" t="b">
        <v>1</v>
      </c>
      <c r="N3957" t="s">
        <v>9750</v>
      </c>
      <c r="Q3957" t="b">
        <v>0</v>
      </c>
      <c r="S3957" t="str">
        <f>"9780310495116"</f>
        <v>9780310495116</v>
      </c>
      <c r="T3957" t="str">
        <f>"9780310495123"</f>
        <v>9780310495123</v>
      </c>
      <c r="U3957" t="b">
        <v>0</v>
      </c>
      <c r="W3957" t="b">
        <v>0</v>
      </c>
    </row>
    <row r="3958" spans="1:23" x14ac:dyDescent="0.3">
      <c r="A3958">
        <v>1524650</v>
      </c>
      <c r="B3958">
        <v>68.97</v>
      </c>
      <c r="C3958" t="s">
        <v>9751</v>
      </c>
      <c r="D3958" t="s">
        <v>9752</v>
      </c>
      <c r="E3958" t="s">
        <v>49</v>
      </c>
      <c r="F3958" t="s">
        <v>106</v>
      </c>
      <c r="G3958">
        <v>2010</v>
      </c>
      <c r="H3958" t="s">
        <v>738</v>
      </c>
      <c r="I3958" t="s">
        <v>8858</v>
      </c>
      <c r="J3958" t="s">
        <v>895</v>
      </c>
      <c r="K3958" t="s">
        <v>25</v>
      </c>
      <c r="L3958" t="s">
        <v>30</v>
      </c>
      <c r="M3958" t="b">
        <v>1</v>
      </c>
      <c r="N3958" t="s">
        <v>8559</v>
      </c>
      <c r="O3958" t="str">
        <f>"220.4"</f>
        <v>220.4</v>
      </c>
      <c r="Q3958" t="b">
        <v>0</v>
      </c>
      <c r="S3958" t="str">
        <f>"9780310479819"</f>
        <v>9780310479819</v>
      </c>
      <c r="T3958" t="str">
        <f>"9780310871514"</f>
        <v>9780310871514</v>
      </c>
      <c r="U3958" t="b">
        <v>0</v>
      </c>
      <c r="W3958" t="b">
        <v>0</v>
      </c>
    </row>
    <row r="3959" spans="1:23" x14ac:dyDescent="0.3">
      <c r="A3959">
        <v>1524649</v>
      </c>
      <c r="B3959">
        <v>34.47</v>
      </c>
      <c r="C3959" t="s">
        <v>9753</v>
      </c>
      <c r="E3959" t="s">
        <v>49</v>
      </c>
      <c r="F3959" t="s">
        <v>44</v>
      </c>
      <c r="G3959">
        <v>2010</v>
      </c>
      <c r="H3959" t="s">
        <v>881</v>
      </c>
      <c r="I3959" t="s">
        <v>9754</v>
      </c>
      <c r="K3959" t="s">
        <v>25</v>
      </c>
      <c r="L3959" t="s">
        <v>26</v>
      </c>
      <c r="M3959" t="b">
        <v>1</v>
      </c>
      <c r="N3959" t="s">
        <v>7314</v>
      </c>
      <c r="O3959" t="str">
        <f>"220.1/5"</f>
        <v>220.1/5</v>
      </c>
      <c r="P3959" t="s">
        <v>9277</v>
      </c>
      <c r="Q3959" t="b">
        <v>0</v>
      </c>
      <c r="S3959" t="str">
        <f>"9780310500513"</f>
        <v>9780310500513</v>
      </c>
      <c r="T3959" t="str">
        <f>"9780310877509"</f>
        <v>9780310877509</v>
      </c>
      <c r="U3959" t="b">
        <v>0</v>
      </c>
      <c r="W3959" t="b">
        <v>0</v>
      </c>
    </row>
    <row r="3960" spans="1:23" x14ac:dyDescent="0.3">
      <c r="A3960">
        <v>1524648</v>
      </c>
      <c r="B3960">
        <v>113.82</v>
      </c>
      <c r="C3960" t="s">
        <v>9755</v>
      </c>
      <c r="D3960" t="s">
        <v>9756</v>
      </c>
      <c r="E3960" t="s">
        <v>49</v>
      </c>
      <c r="F3960" t="s">
        <v>44</v>
      </c>
      <c r="G3960">
        <v>2015</v>
      </c>
      <c r="H3960" t="s">
        <v>52</v>
      </c>
      <c r="I3960" t="s">
        <v>6884</v>
      </c>
      <c r="J3960" t="s">
        <v>895</v>
      </c>
      <c r="K3960" t="s">
        <v>25</v>
      </c>
      <c r="L3960" t="s">
        <v>26</v>
      </c>
      <c r="M3960" t="b">
        <v>1</v>
      </c>
      <c r="N3960" t="s">
        <v>9757</v>
      </c>
      <c r="O3960" t="str">
        <f>"253.5"</f>
        <v>253.5</v>
      </c>
      <c r="Q3960" t="b">
        <v>0</v>
      </c>
      <c r="S3960" t="str">
        <f>"9780310520627"</f>
        <v>9780310520627</v>
      </c>
      <c r="T3960" t="str">
        <f>"9780310520634"</f>
        <v>9780310520634</v>
      </c>
      <c r="U3960" t="b">
        <v>0</v>
      </c>
      <c r="W3960" t="b">
        <v>0</v>
      </c>
    </row>
    <row r="3961" spans="1:23" x14ac:dyDescent="0.3">
      <c r="A3961">
        <v>1524647</v>
      </c>
      <c r="B3961">
        <v>34.47</v>
      </c>
      <c r="C3961" t="s">
        <v>9758</v>
      </c>
      <c r="E3961" t="s">
        <v>49</v>
      </c>
      <c r="F3961" t="s">
        <v>44</v>
      </c>
      <c r="G3961">
        <v>1998</v>
      </c>
      <c r="H3961" t="s">
        <v>881</v>
      </c>
      <c r="I3961" t="s">
        <v>7797</v>
      </c>
      <c r="K3961" t="s">
        <v>25</v>
      </c>
      <c r="L3961" t="s">
        <v>26</v>
      </c>
      <c r="M3961" t="b">
        <v>1</v>
      </c>
      <c r="N3961" t="s">
        <v>7314</v>
      </c>
      <c r="O3961" t="str">
        <f>"220.9/3"</f>
        <v>220.9/3</v>
      </c>
      <c r="P3961" t="s">
        <v>9277</v>
      </c>
      <c r="Q3961" t="b">
        <v>0</v>
      </c>
      <c r="S3961" t="str">
        <f>"9780310203933"</f>
        <v>9780310203933</v>
      </c>
      <c r="T3961" t="str">
        <f>"9780310861164"</f>
        <v>9780310861164</v>
      </c>
      <c r="U3961" t="b">
        <v>0</v>
      </c>
      <c r="W3961" t="b">
        <v>0</v>
      </c>
    </row>
    <row r="3962" spans="1:23" x14ac:dyDescent="0.3">
      <c r="A3962">
        <v>1524646</v>
      </c>
      <c r="B3962">
        <v>137.97</v>
      </c>
      <c r="C3962" t="s">
        <v>9759</v>
      </c>
      <c r="E3962" t="s">
        <v>49</v>
      </c>
      <c r="F3962" t="s">
        <v>106</v>
      </c>
      <c r="G3962">
        <v>2011</v>
      </c>
      <c r="H3962" t="s">
        <v>179</v>
      </c>
      <c r="I3962" t="s">
        <v>9760</v>
      </c>
      <c r="K3962" t="s">
        <v>25</v>
      </c>
      <c r="L3962" t="s">
        <v>26</v>
      </c>
      <c r="M3962" t="b">
        <v>1</v>
      </c>
      <c r="N3962" t="s">
        <v>9761</v>
      </c>
      <c r="O3962" t="str">
        <f>"220.6/7"</f>
        <v>220.6/7</v>
      </c>
      <c r="P3962" t="s">
        <v>9739</v>
      </c>
      <c r="Q3962" t="b">
        <v>0</v>
      </c>
      <c r="S3962" t="str">
        <f>"9780310234142"</f>
        <v>9780310234142</v>
      </c>
      <c r="T3962" t="str">
        <f>"9780310860945"</f>
        <v>9780310860945</v>
      </c>
      <c r="U3962" t="b">
        <v>0</v>
      </c>
      <c r="V3962" t="s">
        <v>7104</v>
      </c>
      <c r="W3962" t="b">
        <v>0</v>
      </c>
    </row>
    <row r="3963" spans="1:23" x14ac:dyDescent="0.3">
      <c r="A3963">
        <v>1524645</v>
      </c>
      <c r="B3963">
        <v>55.17</v>
      </c>
      <c r="C3963" t="s">
        <v>9762</v>
      </c>
      <c r="D3963" t="s">
        <v>9763</v>
      </c>
      <c r="E3963" t="s">
        <v>23</v>
      </c>
      <c r="F3963" t="s">
        <v>44</v>
      </c>
      <c r="G3963">
        <v>2015</v>
      </c>
      <c r="H3963" t="s">
        <v>58</v>
      </c>
      <c r="I3963" t="s">
        <v>9764</v>
      </c>
      <c r="J3963" t="s">
        <v>9765</v>
      </c>
      <c r="K3963" t="s">
        <v>25</v>
      </c>
      <c r="L3963" t="s">
        <v>30</v>
      </c>
      <c r="M3963" t="b">
        <v>1</v>
      </c>
      <c r="N3963" t="s">
        <v>4836</v>
      </c>
      <c r="O3963" t="str">
        <f>"248.4"</f>
        <v>248.4</v>
      </c>
      <c r="Q3963" t="b">
        <v>0</v>
      </c>
      <c r="S3963" t="str">
        <f>"9780310516385"</f>
        <v>9780310516385</v>
      </c>
      <c r="T3963" t="str">
        <f>"9780310516392"</f>
        <v>9780310516392</v>
      </c>
      <c r="U3963" t="b">
        <v>0</v>
      </c>
      <c r="W3963" t="b">
        <v>0</v>
      </c>
    </row>
    <row r="3964" spans="1:23" x14ac:dyDescent="0.3">
      <c r="A3964">
        <v>1524644</v>
      </c>
      <c r="B3964">
        <v>379.47</v>
      </c>
      <c r="C3964" t="s">
        <v>9766</v>
      </c>
      <c r="E3964" t="s">
        <v>49</v>
      </c>
      <c r="F3964" t="s">
        <v>44</v>
      </c>
      <c r="G3964">
        <v>2010</v>
      </c>
      <c r="H3964" t="s">
        <v>9767</v>
      </c>
      <c r="K3964" t="s">
        <v>25</v>
      </c>
      <c r="L3964" t="s">
        <v>30</v>
      </c>
      <c r="M3964" t="b">
        <v>1</v>
      </c>
      <c r="N3964" t="s">
        <v>7655</v>
      </c>
      <c r="Q3964" t="b">
        <v>0</v>
      </c>
      <c r="S3964" t="str">
        <f>"9780310206200"</f>
        <v>9780310206200</v>
      </c>
      <c r="T3964" t="str">
        <f>"9780310871392"</f>
        <v>9780310871392</v>
      </c>
      <c r="U3964" t="b">
        <v>0</v>
      </c>
      <c r="W3964" t="b">
        <v>0</v>
      </c>
    </row>
    <row r="3965" spans="1:23" x14ac:dyDescent="0.3">
      <c r="A3965">
        <v>1524643</v>
      </c>
      <c r="B3965">
        <v>68.97</v>
      </c>
      <c r="C3965" t="s">
        <v>9768</v>
      </c>
      <c r="E3965" t="s">
        <v>49</v>
      </c>
      <c r="F3965" t="s">
        <v>106</v>
      </c>
      <c r="G3965">
        <v>2009</v>
      </c>
      <c r="H3965" t="s">
        <v>893</v>
      </c>
      <c r="I3965" t="s">
        <v>9769</v>
      </c>
      <c r="J3965" t="s">
        <v>9770</v>
      </c>
      <c r="K3965" t="s">
        <v>25</v>
      </c>
      <c r="L3965" t="s">
        <v>26</v>
      </c>
      <c r="M3965" t="b">
        <v>1</v>
      </c>
      <c r="N3965" t="s">
        <v>6419</v>
      </c>
      <c r="O3965" t="str">
        <f>"487/.4"</f>
        <v>487/.4</v>
      </c>
      <c r="Q3965" t="b">
        <v>0</v>
      </c>
      <c r="S3965" t="str">
        <f>"9780310290834"</f>
        <v>9780310290834</v>
      </c>
      <c r="T3965" t="str">
        <f>"9780310590507"</f>
        <v>9780310590507</v>
      </c>
      <c r="U3965" t="b">
        <v>0</v>
      </c>
      <c r="W3965" t="b">
        <v>0</v>
      </c>
    </row>
    <row r="3966" spans="1:23" x14ac:dyDescent="0.3">
      <c r="A3966">
        <v>1524642</v>
      </c>
      <c r="B3966">
        <v>86.22</v>
      </c>
      <c r="C3966" t="s">
        <v>9771</v>
      </c>
      <c r="D3966" t="s">
        <v>9772</v>
      </c>
      <c r="E3966" t="s">
        <v>49</v>
      </c>
      <c r="F3966" t="s">
        <v>106</v>
      </c>
      <c r="G3966">
        <v>2009</v>
      </c>
      <c r="H3966" t="s">
        <v>71</v>
      </c>
      <c r="I3966" t="s">
        <v>6401</v>
      </c>
      <c r="J3966" t="s">
        <v>895</v>
      </c>
      <c r="K3966" t="s">
        <v>25</v>
      </c>
      <c r="L3966" t="s">
        <v>30</v>
      </c>
      <c r="M3966" t="b">
        <v>1</v>
      </c>
      <c r="N3966" t="s">
        <v>9773</v>
      </c>
      <c r="O3966" t="str">
        <f>"230.994"</f>
        <v>230.994</v>
      </c>
      <c r="Q3966" t="b">
        <v>0</v>
      </c>
      <c r="S3966" t="str">
        <f>"9780310252368"</f>
        <v>9780310252368</v>
      </c>
      <c r="T3966" t="str">
        <f>"9780310861058"</f>
        <v>9780310861058</v>
      </c>
      <c r="U3966" t="b">
        <v>0</v>
      </c>
      <c r="W3966" t="b">
        <v>0</v>
      </c>
    </row>
    <row r="3967" spans="1:23" x14ac:dyDescent="0.3">
      <c r="A3967">
        <v>1524640</v>
      </c>
      <c r="B3967">
        <v>86.22</v>
      </c>
      <c r="C3967" t="s">
        <v>9774</v>
      </c>
      <c r="D3967" t="s">
        <v>9775</v>
      </c>
      <c r="E3967" t="s">
        <v>49</v>
      </c>
      <c r="F3967" t="s">
        <v>106</v>
      </c>
      <c r="G3967">
        <v>2015</v>
      </c>
      <c r="H3967" t="s">
        <v>6334</v>
      </c>
      <c r="I3967" t="s">
        <v>9776</v>
      </c>
      <c r="J3967" t="s">
        <v>9777</v>
      </c>
      <c r="K3967" t="s">
        <v>25</v>
      </c>
      <c r="L3967" t="s">
        <v>26</v>
      </c>
      <c r="M3967" t="b">
        <v>1</v>
      </c>
      <c r="N3967" t="s">
        <v>6395</v>
      </c>
      <c r="O3967" t="str">
        <f>"277.3/082"</f>
        <v>277.3/082</v>
      </c>
      <c r="Q3967" t="b">
        <v>0</v>
      </c>
      <c r="S3967" t="str">
        <f>"9780310520795"</f>
        <v>9780310520795</v>
      </c>
      <c r="T3967" t="str">
        <f>"9780310520801"</f>
        <v>9780310520801</v>
      </c>
      <c r="U3967" t="b">
        <v>0</v>
      </c>
      <c r="W3967" t="b">
        <v>0</v>
      </c>
    </row>
    <row r="3968" spans="1:23" x14ac:dyDescent="0.3">
      <c r="A3968">
        <v>1524638</v>
      </c>
      <c r="B3968">
        <v>79.319999999999993</v>
      </c>
      <c r="C3968" t="s">
        <v>9778</v>
      </c>
      <c r="D3968" t="s">
        <v>9779</v>
      </c>
      <c r="E3968" t="s">
        <v>49</v>
      </c>
      <c r="F3968" t="s">
        <v>106</v>
      </c>
      <c r="G3968">
        <v>1996</v>
      </c>
      <c r="H3968" t="s">
        <v>871</v>
      </c>
      <c r="I3968" t="s">
        <v>8395</v>
      </c>
      <c r="J3968" t="s">
        <v>9780</v>
      </c>
      <c r="K3968" t="s">
        <v>25</v>
      </c>
      <c r="L3968" t="s">
        <v>26</v>
      </c>
      <c r="M3968" t="b">
        <v>1</v>
      </c>
      <c r="N3968" t="s">
        <v>9781</v>
      </c>
      <c r="O3968" t="str">
        <f>"234/.13"</f>
        <v>234/.13</v>
      </c>
      <c r="P3968" t="s">
        <v>6463</v>
      </c>
      <c r="Q3968" t="b">
        <v>0</v>
      </c>
      <c r="S3968" t="str">
        <f>"9780310201557"</f>
        <v>9780310201557</v>
      </c>
      <c r="T3968" t="str">
        <f>"9780310871361"</f>
        <v>9780310871361</v>
      </c>
      <c r="U3968" t="b">
        <v>0</v>
      </c>
      <c r="W3968" t="b">
        <v>0</v>
      </c>
    </row>
    <row r="3969" spans="1:23" x14ac:dyDescent="0.3">
      <c r="A3969">
        <v>1524637</v>
      </c>
      <c r="B3969">
        <v>71.03</v>
      </c>
      <c r="C3969" t="s">
        <v>9782</v>
      </c>
      <c r="D3969" t="s">
        <v>9783</v>
      </c>
      <c r="E3969" t="s">
        <v>49</v>
      </c>
      <c r="F3969" t="s">
        <v>106</v>
      </c>
      <c r="G3969">
        <v>2009</v>
      </c>
      <c r="H3969" t="s">
        <v>71</v>
      </c>
      <c r="I3969" t="s">
        <v>9784</v>
      </c>
      <c r="J3969" t="s">
        <v>9785</v>
      </c>
      <c r="K3969" t="s">
        <v>25</v>
      </c>
      <c r="L3969" t="s">
        <v>30</v>
      </c>
      <c r="M3969" t="b">
        <v>1</v>
      </c>
      <c r="N3969" t="s">
        <v>9786</v>
      </c>
      <c r="O3969" t="str">
        <f>"230.71/17642812"</f>
        <v>230.71/17642812</v>
      </c>
      <c r="Q3969" t="b">
        <v>0</v>
      </c>
      <c r="S3969" t="str">
        <f>"9780310237860"</f>
        <v>9780310237860</v>
      </c>
      <c r="T3969" t="str">
        <f>"9780310303022"</f>
        <v>9780310303022</v>
      </c>
      <c r="U3969" t="b">
        <v>0</v>
      </c>
      <c r="W3969" t="b">
        <v>0</v>
      </c>
    </row>
    <row r="3970" spans="1:23" x14ac:dyDescent="0.3">
      <c r="A3970">
        <v>1524636</v>
      </c>
      <c r="B3970">
        <v>55.17</v>
      </c>
      <c r="C3970" t="s">
        <v>9787</v>
      </c>
      <c r="D3970" t="s">
        <v>9788</v>
      </c>
      <c r="E3970" t="s">
        <v>49</v>
      </c>
      <c r="F3970" t="s">
        <v>106</v>
      </c>
      <c r="G3970">
        <v>2014</v>
      </c>
      <c r="H3970" t="s">
        <v>893</v>
      </c>
      <c r="I3970" t="s">
        <v>894</v>
      </c>
      <c r="J3970" t="s">
        <v>9789</v>
      </c>
      <c r="K3970" t="s">
        <v>25</v>
      </c>
      <c r="L3970" t="s">
        <v>26</v>
      </c>
      <c r="M3970" t="b">
        <v>1</v>
      </c>
      <c r="N3970" t="s">
        <v>9790</v>
      </c>
      <c r="O3970" t="str">
        <f>"487/.4"</f>
        <v>487/.4</v>
      </c>
      <c r="Q3970" t="b">
        <v>0</v>
      </c>
      <c r="S3970" t="str">
        <f>"9780310494119"</f>
        <v>9780310494119</v>
      </c>
      <c r="T3970" t="str">
        <f>"9780310516651"</f>
        <v>9780310516651</v>
      </c>
      <c r="U3970" t="b">
        <v>0</v>
      </c>
      <c r="W3970" t="b">
        <v>0</v>
      </c>
    </row>
    <row r="3971" spans="1:23" x14ac:dyDescent="0.3">
      <c r="A3971">
        <v>1524635</v>
      </c>
      <c r="B3971">
        <v>51.72</v>
      </c>
      <c r="C3971" t="s">
        <v>9791</v>
      </c>
      <c r="D3971" t="s">
        <v>9792</v>
      </c>
      <c r="E3971" t="s">
        <v>49</v>
      </c>
      <c r="F3971" t="s">
        <v>44</v>
      </c>
      <c r="G3971">
        <v>2009</v>
      </c>
      <c r="H3971" t="s">
        <v>881</v>
      </c>
      <c r="K3971" t="s">
        <v>25</v>
      </c>
      <c r="L3971" t="s">
        <v>30</v>
      </c>
      <c r="M3971" t="b">
        <v>1</v>
      </c>
      <c r="N3971" t="s">
        <v>7604</v>
      </c>
      <c r="P3971" t="s">
        <v>7630</v>
      </c>
      <c r="Q3971" t="b">
        <v>0</v>
      </c>
      <c r="S3971" t="str">
        <f>"9780310257998"</f>
        <v>9780310257998</v>
      </c>
      <c r="T3971" t="str">
        <f>"9780310865674"</f>
        <v>9780310865674</v>
      </c>
      <c r="U3971" t="b">
        <v>0</v>
      </c>
      <c r="W3971" t="b">
        <v>0</v>
      </c>
    </row>
    <row r="3972" spans="1:23" x14ac:dyDescent="0.3">
      <c r="A3972">
        <v>1524634</v>
      </c>
      <c r="B3972">
        <v>65.52</v>
      </c>
      <c r="C3972" t="s">
        <v>9793</v>
      </c>
      <c r="D3972" t="s">
        <v>9794</v>
      </c>
      <c r="E3972" t="s">
        <v>49</v>
      </c>
      <c r="F3972" t="s">
        <v>106</v>
      </c>
      <c r="G3972">
        <v>2011</v>
      </c>
      <c r="H3972" t="s">
        <v>115</v>
      </c>
      <c r="I3972" t="s">
        <v>9795</v>
      </c>
      <c r="J3972" t="s">
        <v>9796</v>
      </c>
      <c r="K3972" t="s">
        <v>25</v>
      </c>
      <c r="L3972" t="s">
        <v>26</v>
      </c>
      <c r="M3972" t="b">
        <v>1</v>
      </c>
      <c r="N3972" t="s">
        <v>789</v>
      </c>
      <c r="O3972" t="str">
        <f>"230/.42"</f>
        <v>230/.42</v>
      </c>
      <c r="Q3972" t="b">
        <v>0</v>
      </c>
      <c r="S3972" t="str">
        <f>"9780310324676"</f>
        <v>9780310324676</v>
      </c>
      <c r="T3972" t="str">
        <f>"9780310575955"</f>
        <v>9780310575955</v>
      </c>
      <c r="U3972" t="b">
        <v>0</v>
      </c>
      <c r="W3972" t="b">
        <v>0</v>
      </c>
    </row>
    <row r="3973" spans="1:23" x14ac:dyDescent="0.3">
      <c r="A3973">
        <v>1524633</v>
      </c>
      <c r="B3973">
        <v>59.97</v>
      </c>
      <c r="C3973" t="s">
        <v>6515</v>
      </c>
      <c r="E3973" t="s">
        <v>23</v>
      </c>
      <c r="F3973" t="s">
        <v>44</v>
      </c>
      <c r="G3973">
        <v>2012</v>
      </c>
      <c r="H3973" t="s">
        <v>115</v>
      </c>
      <c r="I3973" t="s">
        <v>6516</v>
      </c>
      <c r="J3973" t="s">
        <v>895</v>
      </c>
      <c r="K3973" t="s">
        <v>25</v>
      </c>
      <c r="L3973" t="s">
        <v>30</v>
      </c>
      <c r="M3973" t="b">
        <v>1</v>
      </c>
      <c r="N3973" t="s">
        <v>6518</v>
      </c>
      <c r="O3973" t="str">
        <f>"230.096"</f>
        <v>230.096</v>
      </c>
      <c r="P3973" t="s">
        <v>9797</v>
      </c>
      <c r="Q3973" t="b">
        <v>0</v>
      </c>
      <c r="S3973" t="str">
        <f>"9789966003164"</f>
        <v>9789966003164</v>
      </c>
      <c r="T3973" t="str">
        <f>"9780310429678"</f>
        <v>9780310429678</v>
      </c>
      <c r="U3973" t="b">
        <v>0</v>
      </c>
      <c r="W3973" t="b">
        <v>0</v>
      </c>
    </row>
    <row r="3974" spans="1:23" x14ac:dyDescent="0.3">
      <c r="A3974">
        <v>1524632</v>
      </c>
      <c r="B3974">
        <v>113.68</v>
      </c>
      <c r="C3974" t="s">
        <v>9798</v>
      </c>
      <c r="D3974" t="s">
        <v>9799</v>
      </c>
      <c r="E3974" t="s">
        <v>49</v>
      </c>
      <c r="F3974" t="s">
        <v>106</v>
      </c>
      <c r="G3974">
        <v>2006</v>
      </c>
      <c r="H3974" t="s">
        <v>98</v>
      </c>
      <c r="I3974" t="s">
        <v>9800</v>
      </c>
      <c r="J3974" t="s">
        <v>9801</v>
      </c>
      <c r="K3974" t="s">
        <v>25</v>
      </c>
      <c r="L3974" t="s">
        <v>26</v>
      </c>
      <c r="M3974" t="b">
        <v>1</v>
      </c>
      <c r="N3974" t="s">
        <v>44</v>
      </c>
      <c r="O3974" t="str">
        <f>"220.7096"</f>
        <v>220.7096</v>
      </c>
      <c r="Q3974" t="b">
        <v>0</v>
      </c>
      <c r="S3974" t="str">
        <f>"9780310264736"</f>
        <v>9780310264736</v>
      </c>
      <c r="T3974" t="str">
        <f>"9780310871286"</f>
        <v>9780310871286</v>
      </c>
      <c r="U3974" t="b">
        <v>0</v>
      </c>
      <c r="W3974" t="b">
        <v>0</v>
      </c>
    </row>
    <row r="3975" spans="1:23" x14ac:dyDescent="0.3">
      <c r="A3975">
        <v>1524631</v>
      </c>
      <c r="B3975">
        <v>79.319999999999993</v>
      </c>
      <c r="C3975" t="s">
        <v>9802</v>
      </c>
      <c r="D3975" t="s">
        <v>6351</v>
      </c>
      <c r="E3975" t="s">
        <v>49</v>
      </c>
      <c r="F3975" t="s">
        <v>106</v>
      </c>
      <c r="G3975">
        <v>2014</v>
      </c>
      <c r="H3975" t="s">
        <v>738</v>
      </c>
      <c r="I3975" t="s">
        <v>8694</v>
      </c>
      <c r="J3975" t="s">
        <v>9803</v>
      </c>
      <c r="K3975" t="s">
        <v>25</v>
      </c>
      <c r="L3975" t="s">
        <v>26</v>
      </c>
      <c r="M3975" t="b">
        <v>1</v>
      </c>
      <c r="N3975" t="s">
        <v>6354</v>
      </c>
      <c r="O3975" t="str">
        <f>"231/.044"</f>
        <v>231/.044</v>
      </c>
      <c r="Q3975" t="b">
        <v>0</v>
      </c>
      <c r="S3975" t="str">
        <f>"9780310517092"</f>
        <v>9780310517092</v>
      </c>
      <c r="T3975" t="str">
        <f>"9780310517290"</f>
        <v>9780310517290</v>
      </c>
      <c r="U3975" t="b">
        <v>0</v>
      </c>
      <c r="W3975" t="b">
        <v>0</v>
      </c>
    </row>
    <row r="3976" spans="1:23" x14ac:dyDescent="0.3">
      <c r="A3976">
        <v>1524630</v>
      </c>
      <c r="B3976">
        <v>120.72</v>
      </c>
      <c r="C3976" t="s">
        <v>9804</v>
      </c>
      <c r="D3976" t="s">
        <v>9805</v>
      </c>
      <c r="E3976" t="s">
        <v>49</v>
      </c>
      <c r="F3976" t="s">
        <v>106</v>
      </c>
      <c r="G3976">
        <v>2015</v>
      </c>
      <c r="H3976" t="s">
        <v>893</v>
      </c>
      <c r="I3976" t="s">
        <v>9806</v>
      </c>
      <c r="J3976" t="s">
        <v>9807</v>
      </c>
      <c r="K3976" t="s">
        <v>25</v>
      </c>
      <c r="L3976" t="s">
        <v>30</v>
      </c>
      <c r="M3976" t="b">
        <v>1</v>
      </c>
      <c r="N3976" t="s">
        <v>6419</v>
      </c>
      <c r="O3976" t="str">
        <f>"487/.4"</f>
        <v>487/.4</v>
      </c>
      <c r="Q3976" t="b">
        <v>0</v>
      </c>
      <c r="S3976" t="str">
        <f>"9780310515951"</f>
        <v>9780310515951</v>
      </c>
      <c r="T3976" t="str">
        <f>"9780310524533"</f>
        <v>9780310524533</v>
      </c>
      <c r="U3976" t="b">
        <v>0</v>
      </c>
      <c r="W3976" t="b">
        <v>0</v>
      </c>
    </row>
    <row r="3977" spans="1:23" x14ac:dyDescent="0.3">
      <c r="A3977">
        <v>1524629</v>
      </c>
      <c r="B3977">
        <v>65.52</v>
      </c>
      <c r="C3977" t="s">
        <v>9808</v>
      </c>
      <c r="D3977" t="s">
        <v>9809</v>
      </c>
      <c r="E3977" t="s">
        <v>23</v>
      </c>
      <c r="F3977" t="s">
        <v>44</v>
      </c>
      <c r="G3977">
        <v>2015</v>
      </c>
      <c r="H3977" t="s">
        <v>68</v>
      </c>
      <c r="K3977" t="s">
        <v>25</v>
      </c>
      <c r="L3977" t="s">
        <v>30</v>
      </c>
      <c r="M3977" t="b">
        <v>1</v>
      </c>
      <c r="N3977" t="s">
        <v>9810</v>
      </c>
      <c r="Q3977" t="b">
        <v>0</v>
      </c>
      <c r="S3977" t="str">
        <f>"9780310515265"</f>
        <v>9780310515265</v>
      </c>
      <c r="T3977" t="str">
        <f>"9780310515272"</f>
        <v>9780310515272</v>
      </c>
      <c r="U3977" t="b">
        <v>0</v>
      </c>
      <c r="W3977" t="b">
        <v>0</v>
      </c>
    </row>
    <row r="3978" spans="1:23" x14ac:dyDescent="0.3">
      <c r="A3978">
        <v>1524628</v>
      </c>
      <c r="B3978">
        <v>155.22</v>
      </c>
      <c r="C3978" t="s">
        <v>9811</v>
      </c>
      <c r="D3978" t="s">
        <v>9812</v>
      </c>
      <c r="E3978" t="s">
        <v>49</v>
      </c>
      <c r="F3978" t="s">
        <v>106</v>
      </c>
      <c r="G3978">
        <v>2015</v>
      </c>
      <c r="H3978" t="s">
        <v>830</v>
      </c>
      <c r="I3978" t="s">
        <v>9488</v>
      </c>
      <c r="K3978" t="s">
        <v>25</v>
      </c>
      <c r="L3978" t="s">
        <v>26</v>
      </c>
      <c r="M3978" t="b">
        <v>1</v>
      </c>
      <c r="N3978" t="s">
        <v>8481</v>
      </c>
      <c r="O3978" t="str">
        <f>"226.3/06"</f>
        <v>226.3/06</v>
      </c>
      <c r="P3978" t="s">
        <v>1174</v>
      </c>
      <c r="Q3978" t="b">
        <v>0</v>
      </c>
      <c r="S3978" t="str">
        <f>"9780310270881"</f>
        <v>9780310270881</v>
      </c>
      <c r="T3978" t="str">
        <f>"9780310523123"</f>
        <v>9780310523123</v>
      </c>
      <c r="U3978" t="b">
        <v>0</v>
      </c>
      <c r="W3978" t="b">
        <v>0</v>
      </c>
    </row>
    <row r="3979" spans="1:23" x14ac:dyDescent="0.3">
      <c r="A3979">
        <v>1524627</v>
      </c>
      <c r="B3979">
        <v>148.32</v>
      </c>
      <c r="C3979" t="s">
        <v>9813</v>
      </c>
      <c r="D3979" t="s">
        <v>9814</v>
      </c>
      <c r="E3979" t="s">
        <v>49</v>
      </c>
      <c r="F3979" t="s">
        <v>106</v>
      </c>
      <c r="G3979">
        <v>2012</v>
      </c>
      <c r="H3979" t="s">
        <v>6490</v>
      </c>
      <c r="I3979" t="s">
        <v>6485</v>
      </c>
      <c r="K3979" t="s">
        <v>25</v>
      </c>
      <c r="L3979" t="s">
        <v>26</v>
      </c>
      <c r="M3979" t="b">
        <v>1</v>
      </c>
      <c r="N3979" t="s">
        <v>6396</v>
      </c>
      <c r="O3979" t="str">
        <f>"226.4/06"</f>
        <v>226.4/06</v>
      </c>
      <c r="P3979" t="s">
        <v>1174</v>
      </c>
      <c r="Q3979" t="b">
        <v>0</v>
      </c>
      <c r="S3979" t="str">
        <f>"9780310270898"</f>
        <v>9780310270898</v>
      </c>
      <c r="T3979" t="str">
        <f>"9780310523208"</f>
        <v>9780310523208</v>
      </c>
      <c r="U3979" t="b">
        <v>0</v>
      </c>
      <c r="W3979" t="b">
        <v>0</v>
      </c>
    </row>
    <row r="3980" spans="1:23" x14ac:dyDescent="0.3">
      <c r="A3980">
        <v>1524626</v>
      </c>
      <c r="B3980">
        <v>137.97</v>
      </c>
      <c r="C3980" t="s">
        <v>9815</v>
      </c>
      <c r="D3980" t="s">
        <v>9816</v>
      </c>
      <c r="E3980" t="s">
        <v>23</v>
      </c>
      <c r="F3980" t="s">
        <v>106</v>
      </c>
      <c r="G3980">
        <v>2009</v>
      </c>
      <c r="H3980" t="s">
        <v>830</v>
      </c>
      <c r="I3980" t="s">
        <v>8989</v>
      </c>
      <c r="K3980" t="s">
        <v>25</v>
      </c>
      <c r="L3980" t="s">
        <v>26</v>
      </c>
      <c r="M3980" t="b">
        <v>1</v>
      </c>
      <c r="N3980" t="s">
        <v>9817</v>
      </c>
      <c r="O3980" t="str">
        <f>"226.5/065"</f>
        <v>226.5/065</v>
      </c>
      <c r="P3980" t="s">
        <v>1174</v>
      </c>
      <c r="Q3980" t="b">
        <v>0</v>
      </c>
      <c r="S3980" t="str">
        <f>"9780310269861"</f>
        <v>9780310269861</v>
      </c>
      <c r="T3980" t="str">
        <f>"9780310523260"</f>
        <v>9780310523260</v>
      </c>
      <c r="U3980" t="b">
        <v>0</v>
      </c>
      <c r="W3980" t="b">
        <v>0</v>
      </c>
    </row>
    <row r="3981" spans="1:23" x14ac:dyDescent="0.3">
      <c r="A3981">
        <v>1524625</v>
      </c>
      <c r="B3981">
        <v>137.97</v>
      </c>
      <c r="C3981" t="s">
        <v>9818</v>
      </c>
      <c r="D3981" t="s">
        <v>9819</v>
      </c>
      <c r="E3981" t="s">
        <v>49</v>
      </c>
      <c r="F3981" t="s">
        <v>106</v>
      </c>
      <c r="G3981">
        <v>2014</v>
      </c>
      <c r="H3981" t="s">
        <v>830</v>
      </c>
      <c r="I3981" t="s">
        <v>8512</v>
      </c>
      <c r="K3981" t="s">
        <v>25</v>
      </c>
      <c r="L3981" t="s">
        <v>26</v>
      </c>
      <c r="M3981" t="b">
        <v>1</v>
      </c>
      <c r="N3981" t="s">
        <v>9820</v>
      </c>
      <c r="O3981" t="str">
        <f>"227/.906"</f>
        <v>227/.906</v>
      </c>
      <c r="P3981" t="s">
        <v>1174</v>
      </c>
      <c r="Q3981" t="b">
        <v>0</v>
      </c>
      <c r="S3981" t="str">
        <f>"9780310291473"</f>
        <v>9780310291473</v>
      </c>
      <c r="T3981" t="str">
        <f>"9780310519430"</f>
        <v>9780310519430</v>
      </c>
      <c r="U3981" t="b">
        <v>0</v>
      </c>
      <c r="W3981" t="b">
        <v>0</v>
      </c>
    </row>
    <row r="3982" spans="1:23" x14ac:dyDescent="0.3">
      <c r="A3982">
        <v>1524624</v>
      </c>
      <c r="B3982">
        <v>79.319999999999993</v>
      </c>
      <c r="C3982" t="s">
        <v>9821</v>
      </c>
      <c r="D3982" t="s">
        <v>9822</v>
      </c>
      <c r="E3982" t="s">
        <v>49</v>
      </c>
      <c r="F3982" t="s">
        <v>44</v>
      </c>
      <c r="G3982">
        <v>2010</v>
      </c>
      <c r="H3982" t="s">
        <v>1221</v>
      </c>
      <c r="I3982" t="s">
        <v>3748</v>
      </c>
      <c r="J3982" t="s">
        <v>6737</v>
      </c>
      <c r="K3982" t="s">
        <v>25</v>
      </c>
      <c r="L3982" t="s">
        <v>30</v>
      </c>
      <c r="M3982" t="b">
        <v>1</v>
      </c>
      <c r="N3982" t="s">
        <v>7983</v>
      </c>
      <c r="O3982" t="str">
        <f>"253.5"</f>
        <v>253.5</v>
      </c>
      <c r="P3982" t="s">
        <v>9099</v>
      </c>
      <c r="Q3982" t="b">
        <v>0</v>
      </c>
      <c r="S3982" t="str">
        <f>"9780310511014"</f>
        <v>9780310511014</v>
      </c>
      <c r="T3982" t="str">
        <f>"9780310877080"</f>
        <v>9780310877080</v>
      </c>
      <c r="U3982" t="b">
        <v>0</v>
      </c>
      <c r="V3982" t="s">
        <v>9823</v>
      </c>
      <c r="W3982" t="b">
        <v>0</v>
      </c>
    </row>
    <row r="3983" spans="1:23" x14ac:dyDescent="0.3">
      <c r="A3983">
        <v>1524623</v>
      </c>
      <c r="B3983">
        <v>68.97</v>
      </c>
      <c r="C3983" t="s">
        <v>9824</v>
      </c>
      <c r="E3983" t="s">
        <v>23</v>
      </c>
      <c r="F3983" t="s">
        <v>44</v>
      </c>
      <c r="G3983">
        <v>2010</v>
      </c>
      <c r="H3983" t="s">
        <v>76</v>
      </c>
      <c r="I3983" t="s">
        <v>9825</v>
      </c>
      <c r="K3983" t="s">
        <v>25</v>
      </c>
      <c r="L3983" t="s">
        <v>30</v>
      </c>
      <c r="M3983" t="b">
        <v>1</v>
      </c>
      <c r="N3983" t="s">
        <v>9826</v>
      </c>
      <c r="O3983" t="str">
        <f>"232.9/01"</f>
        <v>232.9/01</v>
      </c>
      <c r="Q3983" t="b">
        <v>0</v>
      </c>
      <c r="S3983" t="str">
        <f>"9780310254416"</f>
        <v>9780310254416</v>
      </c>
      <c r="T3983" t="str">
        <f>"9780310877288"</f>
        <v>9780310877288</v>
      </c>
      <c r="U3983" t="b">
        <v>0</v>
      </c>
      <c r="W3983" t="b">
        <v>0</v>
      </c>
    </row>
    <row r="3984" spans="1:23" x14ac:dyDescent="0.3">
      <c r="A3984">
        <v>1524621</v>
      </c>
      <c r="B3984">
        <v>51.72</v>
      </c>
      <c r="C3984" t="s">
        <v>9827</v>
      </c>
      <c r="D3984" t="s">
        <v>9828</v>
      </c>
      <c r="E3984" t="s">
        <v>23</v>
      </c>
      <c r="F3984" t="s">
        <v>44</v>
      </c>
      <c r="G3984">
        <v>2010</v>
      </c>
      <c r="H3984" t="s">
        <v>58</v>
      </c>
      <c r="K3984" t="s">
        <v>25</v>
      </c>
      <c r="L3984" t="s">
        <v>30</v>
      </c>
      <c r="M3984" t="b">
        <v>1</v>
      </c>
      <c r="N3984" t="s">
        <v>1026</v>
      </c>
      <c r="Q3984" t="b">
        <v>0</v>
      </c>
      <c r="S3984" t="str">
        <f>"9780310327400"</f>
        <v>9780310327400</v>
      </c>
      <c r="T3984" t="str">
        <f>"9780310587057"</f>
        <v>9780310587057</v>
      </c>
      <c r="U3984" t="b">
        <v>0</v>
      </c>
      <c r="W3984" t="b">
        <v>0</v>
      </c>
    </row>
    <row r="3985" spans="1:23" x14ac:dyDescent="0.3">
      <c r="A3985">
        <v>1524620</v>
      </c>
      <c r="B3985">
        <v>35.97</v>
      </c>
      <c r="C3985" t="s">
        <v>6522</v>
      </c>
      <c r="E3985" t="s">
        <v>23</v>
      </c>
      <c r="F3985" t="s">
        <v>44</v>
      </c>
      <c r="G3985">
        <v>2010</v>
      </c>
      <c r="H3985" t="s">
        <v>179</v>
      </c>
      <c r="I3985" t="s">
        <v>9199</v>
      </c>
      <c r="K3985" t="s">
        <v>25</v>
      </c>
      <c r="L3985" t="s">
        <v>30</v>
      </c>
      <c r="M3985" t="b">
        <v>1</v>
      </c>
      <c r="N3985" t="s">
        <v>6524</v>
      </c>
      <c r="O3985" t="str">
        <f>"220.601"</f>
        <v>220.601</v>
      </c>
      <c r="Q3985" t="b">
        <v>0</v>
      </c>
      <c r="S3985" t="str">
        <f>"9789966003089"</f>
        <v>9789966003089</v>
      </c>
      <c r="T3985" t="str">
        <f>"9780310413554"</f>
        <v>9780310413554</v>
      </c>
      <c r="U3985" t="b">
        <v>0</v>
      </c>
      <c r="W3985" t="b">
        <v>0</v>
      </c>
    </row>
    <row r="3986" spans="1:23" x14ac:dyDescent="0.3">
      <c r="A3986">
        <v>1524619</v>
      </c>
      <c r="B3986">
        <v>58.62</v>
      </c>
      <c r="C3986" t="s">
        <v>9829</v>
      </c>
      <c r="D3986" t="s">
        <v>9830</v>
      </c>
      <c r="E3986" t="s">
        <v>49</v>
      </c>
      <c r="F3986" t="s">
        <v>44</v>
      </c>
      <c r="G3986">
        <v>2010</v>
      </c>
      <c r="H3986" t="s">
        <v>6334</v>
      </c>
      <c r="K3986" t="s">
        <v>25</v>
      </c>
      <c r="L3986" t="s">
        <v>26</v>
      </c>
      <c r="M3986" t="b">
        <v>1</v>
      </c>
      <c r="N3986" t="s">
        <v>9831</v>
      </c>
      <c r="Q3986" t="b">
        <v>0</v>
      </c>
      <c r="S3986" t="str">
        <f>"9780310327035"</f>
        <v>9780310327035</v>
      </c>
      <c r="T3986" t="str">
        <f>"9780310558699"</f>
        <v>9780310558699</v>
      </c>
      <c r="U3986" t="b">
        <v>0</v>
      </c>
      <c r="W3986" t="b">
        <v>0</v>
      </c>
    </row>
    <row r="3987" spans="1:23" x14ac:dyDescent="0.3">
      <c r="A3987">
        <v>1524618</v>
      </c>
      <c r="B3987">
        <v>62.07</v>
      </c>
      <c r="C3987" t="s">
        <v>9832</v>
      </c>
      <c r="D3987" t="s">
        <v>9833</v>
      </c>
      <c r="E3987" t="s">
        <v>49</v>
      </c>
      <c r="F3987" t="s">
        <v>44</v>
      </c>
      <c r="G3987">
        <v>2010</v>
      </c>
      <c r="H3987" t="s">
        <v>738</v>
      </c>
      <c r="I3987" t="s">
        <v>9834</v>
      </c>
      <c r="J3987" t="s">
        <v>895</v>
      </c>
      <c r="K3987" t="s">
        <v>25</v>
      </c>
      <c r="L3987" t="s">
        <v>30</v>
      </c>
      <c r="M3987" t="b">
        <v>1</v>
      </c>
      <c r="N3987" t="s">
        <v>9835</v>
      </c>
      <c r="O3987" t="str">
        <f>"220.6/1"</f>
        <v>220.6/1</v>
      </c>
      <c r="Q3987" t="b">
        <v>0</v>
      </c>
      <c r="S3987" t="str">
        <f>"9780310453710"</f>
        <v>9780310453710</v>
      </c>
      <c r="T3987" t="str">
        <f>"9780310872436"</f>
        <v>9780310872436</v>
      </c>
      <c r="U3987" t="b">
        <v>0</v>
      </c>
      <c r="W3987" t="b">
        <v>0</v>
      </c>
    </row>
    <row r="3988" spans="1:23" x14ac:dyDescent="0.3">
      <c r="A3988">
        <v>1524617</v>
      </c>
      <c r="B3988">
        <v>55.17</v>
      </c>
      <c r="C3988" t="s">
        <v>9836</v>
      </c>
      <c r="D3988" t="s">
        <v>9837</v>
      </c>
      <c r="E3988" t="s">
        <v>23</v>
      </c>
      <c r="F3988" t="s">
        <v>44</v>
      </c>
      <c r="G3988">
        <v>2015</v>
      </c>
      <c r="H3988" t="s">
        <v>55</v>
      </c>
      <c r="I3988" t="s">
        <v>9838</v>
      </c>
      <c r="K3988" t="s">
        <v>25</v>
      </c>
      <c r="L3988" t="s">
        <v>30</v>
      </c>
      <c r="M3988" t="b">
        <v>1</v>
      </c>
      <c r="N3988" t="s">
        <v>1041</v>
      </c>
      <c r="O3988" t="str">
        <f>"220.6/1"</f>
        <v>220.6/1</v>
      </c>
      <c r="Q3988" t="b">
        <v>0</v>
      </c>
      <c r="S3988" t="str">
        <f>"9780310518433"</f>
        <v>9780310518433</v>
      </c>
      <c r="T3988" t="str">
        <f>"9780310518440"</f>
        <v>9780310518440</v>
      </c>
      <c r="U3988" t="b">
        <v>0</v>
      </c>
      <c r="W3988" t="b">
        <v>0</v>
      </c>
    </row>
    <row r="3989" spans="1:23" x14ac:dyDescent="0.3">
      <c r="A3989">
        <v>1524616</v>
      </c>
      <c r="B3989">
        <v>58.62</v>
      </c>
      <c r="C3989" t="s">
        <v>9839</v>
      </c>
      <c r="D3989" t="s">
        <v>9840</v>
      </c>
      <c r="E3989" t="s">
        <v>49</v>
      </c>
      <c r="F3989" t="s">
        <v>106</v>
      </c>
      <c r="G3989">
        <v>2012</v>
      </c>
      <c r="H3989" t="s">
        <v>6498</v>
      </c>
      <c r="I3989" t="s">
        <v>9841</v>
      </c>
      <c r="K3989" t="s">
        <v>25</v>
      </c>
      <c r="L3989" t="s">
        <v>30</v>
      </c>
      <c r="M3989" t="b">
        <v>1</v>
      </c>
      <c r="N3989" t="s">
        <v>9842</v>
      </c>
      <c r="O3989" t="str">
        <f>"221.609"</f>
        <v>221.609</v>
      </c>
      <c r="Q3989" t="b">
        <v>0</v>
      </c>
      <c r="S3989" t="str">
        <f>"9780310325321"</f>
        <v>9780310325321</v>
      </c>
      <c r="T3989" t="str">
        <f>"9780310589679"</f>
        <v>9780310589679</v>
      </c>
      <c r="U3989" t="b">
        <v>0</v>
      </c>
      <c r="W3989" t="b">
        <v>0</v>
      </c>
    </row>
    <row r="3990" spans="1:23" x14ac:dyDescent="0.3">
      <c r="A3990">
        <v>1524615</v>
      </c>
      <c r="B3990">
        <v>103.47</v>
      </c>
      <c r="C3990" t="s">
        <v>9843</v>
      </c>
      <c r="E3990" t="s">
        <v>49</v>
      </c>
      <c r="F3990" t="s">
        <v>106</v>
      </c>
      <c r="G3990">
        <v>1996</v>
      </c>
      <c r="H3990" t="s">
        <v>6799</v>
      </c>
      <c r="I3990" t="s">
        <v>9844</v>
      </c>
      <c r="K3990" t="s">
        <v>25</v>
      </c>
      <c r="L3990" t="s">
        <v>30</v>
      </c>
      <c r="M3990" t="b">
        <v>1</v>
      </c>
      <c r="N3990" t="s">
        <v>1173</v>
      </c>
      <c r="O3990" t="str">
        <f>"227/.93077"</f>
        <v>227/.93077</v>
      </c>
      <c r="P3990" t="s">
        <v>6300</v>
      </c>
      <c r="Q3990" t="b">
        <v>0</v>
      </c>
      <c r="S3990" t="str">
        <f>"9780310201045"</f>
        <v>9780310201045</v>
      </c>
      <c r="T3990" t="str">
        <f>"9780310871279"</f>
        <v>9780310871279</v>
      </c>
      <c r="U3990" t="b">
        <v>0</v>
      </c>
      <c r="W3990" t="b">
        <v>0</v>
      </c>
    </row>
    <row r="3991" spans="1:23" x14ac:dyDescent="0.3">
      <c r="A3991">
        <v>1524614</v>
      </c>
      <c r="B3991">
        <v>189.72</v>
      </c>
      <c r="C3991" t="s">
        <v>9845</v>
      </c>
      <c r="D3991" t="s">
        <v>3445</v>
      </c>
      <c r="E3991" t="s">
        <v>49</v>
      </c>
      <c r="F3991" t="s">
        <v>106</v>
      </c>
      <c r="G3991">
        <v>2014</v>
      </c>
      <c r="H3991" t="s">
        <v>1181</v>
      </c>
      <c r="I3991" t="s">
        <v>9846</v>
      </c>
      <c r="K3991" t="s">
        <v>25</v>
      </c>
      <c r="L3991" t="s">
        <v>30</v>
      </c>
      <c r="M3991" t="b">
        <v>1</v>
      </c>
      <c r="N3991" t="s">
        <v>6376</v>
      </c>
      <c r="O3991" t="str">
        <f>"227.307"</f>
        <v>227.307</v>
      </c>
      <c r="P3991" t="s">
        <v>6546</v>
      </c>
      <c r="Q3991" t="b">
        <v>0</v>
      </c>
      <c r="S3991" t="str">
        <f>"9781418507732"</f>
        <v>9781418507732</v>
      </c>
      <c r="T3991" t="str">
        <f>"9780310586296"</f>
        <v>9780310586296</v>
      </c>
      <c r="U3991" t="b">
        <v>0</v>
      </c>
      <c r="V3991" t="s">
        <v>870</v>
      </c>
      <c r="W3991" t="b">
        <v>0</v>
      </c>
    </row>
    <row r="3992" spans="1:23" x14ac:dyDescent="0.3">
      <c r="A3992">
        <v>1524613</v>
      </c>
      <c r="B3992">
        <v>120.72</v>
      </c>
      <c r="C3992" t="s">
        <v>103</v>
      </c>
      <c r="E3992" t="s">
        <v>49</v>
      </c>
      <c r="F3992" t="s">
        <v>106</v>
      </c>
      <c r="G3992">
        <v>2000</v>
      </c>
      <c r="H3992" t="s">
        <v>98</v>
      </c>
      <c r="I3992" t="s">
        <v>9847</v>
      </c>
      <c r="K3992" t="s">
        <v>25</v>
      </c>
      <c r="L3992" t="s">
        <v>30</v>
      </c>
      <c r="M3992" t="b">
        <v>1</v>
      </c>
      <c r="N3992" t="s">
        <v>9848</v>
      </c>
      <c r="O3992" t="str">
        <f>"227/.3077"</f>
        <v>227/.3077</v>
      </c>
      <c r="P3992" t="s">
        <v>9343</v>
      </c>
      <c r="Q3992" t="b">
        <v>0</v>
      </c>
      <c r="S3992" t="str">
        <f>"9780310494201"</f>
        <v>9780310494201</v>
      </c>
      <c r="T3992" t="str">
        <f>"9780310520702"</f>
        <v>9780310520702</v>
      </c>
      <c r="U3992" t="b">
        <v>0</v>
      </c>
      <c r="W3992" t="b">
        <v>0</v>
      </c>
    </row>
    <row r="3993" spans="1:23" x14ac:dyDescent="0.3">
      <c r="A3993">
        <v>1524612</v>
      </c>
      <c r="B3993">
        <v>58.62</v>
      </c>
      <c r="C3993" t="s">
        <v>9849</v>
      </c>
      <c r="D3993" t="s">
        <v>9850</v>
      </c>
      <c r="E3993" t="s">
        <v>49</v>
      </c>
      <c r="F3993" t="s">
        <v>44</v>
      </c>
      <c r="G3993">
        <v>2010</v>
      </c>
      <c r="H3993" t="s">
        <v>1181</v>
      </c>
      <c r="K3993" t="s">
        <v>25</v>
      </c>
      <c r="L3993" t="s">
        <v>30</v>
      </c>
      <c r="M3993" t="b">
        <v>1</v>
      </c>
      <c r="N3993" t="s">
        <v>9851</v>
      </c>
      <c r="Q3993" t="b">
        <v>0</v>
      </c>
      <c r="S3993" t="str">
        <f>"9780310256021"</f>
        <v>9780310256021</v>
      </c>
      <c r="T3993" t="str">
        <f>"9780310871255"</f>
        <v>9780310871255</v>
      </c>
      <c r="U3993" t="b">
        <v>0</v>
      </c>
      <c r="W3993" t="b">
        <v>0</v>
      </c>
    </row>
    <row r="3994" spans="1:23" x14ac:dyDescent="0.3">
      <c r="A3994">
        <v>1524611</v>
      </c>
      <c r="B3994">
        <v>74.59</v>
      </c>
      <c r="C3994" t="s">
        <v>9852</v>
      </c>
      <c r="D3994" t="s">
        <v>9853</v>
      </c>
      <c r="E3994" t="s">
        <v>49</v>
      </c>
      <c r="F3994" t="s">
        <v>44</v>
      </c>
      <c r="G3994">
        <v>2009</v>
      </c>
      <c r="H3994" t="s">
        <v>3527</v>
      </c>
      <c r="K3994" t="s">
        <v>25</v>
      </c>
      <c r="L3994" t="s">
        <v>30</v>
      </c>
      <c r="M3994" t="b">
        <v>1</v>
      </c>
      <c r="N3994" t="s">
        <v>44</v>
      </c>
      <c r="Q3994" t="b">
        <v>0</v>
      </c>
      <c r="S3994" t="str">
        <f>"9780310280361"</f>
        <v>9780310280361</v>
      </c>
      <c r="T3994" t="str">
        <f>"9780310590484"</f>
        <v>9780310590484</v>
      </c>
      <c r="U3994" t="b">
        <v>0</v>
      </c>
      <c r="W3994" t="b">
        <v>0</v>
      </c>
    </row>
    <row r="3995" spans="1:23" x14ac:dyDescent="0.3">
      <c r="A3995">
        <v>1524610</v>
      </c>
      <c r="B3995">
        <v>55.17</v>
      </c>
      <c r="C3995" t="s">
        <v>9854</v>
      </c>
      <c r="D3995" t="s">
        <v>9855</v>
      </c>
      <c r="E3995" t="s">
        <v>49</v>
      </c>
      <c r="F3995" t="s">
        <v>44</v>
      </c>
      <c r="G3995">
        <v>2010</v>
      </c>
      <c r="H3995" t="s">
        <v>3527</v>
      </c>
      <c r="K3995" t="s">
        <v>25</v>
      </c>
      <c r="L3995" t="s">
        <v>30</v>
      </c>
      <c r="M3995" t="b">
        <v>1</v>
      </c>
      <c r="N3995" t="s">
        <v>9851</v>
      </c>
      <c r="Q3995" t="b">
        <v>0</v>
      </c>
      <c r="S3995" t="str">
        <f>"9780310217138"</f>
        <v>9780310217138</v>
      </c>
      <c r="T3995" t="str">
        <f>"9780310871248"</f>
        <v>9780310871248</v>
      </c>
      <c r="U3995" t="b">
        <v>0</v>
      </c>
      <c r="W3995" t="b">
        <v>0</v>
      </c>
    </row>
    <row r="3996" spans="1:23" x14ac:dyDescent="0.3">
      <c r="A3996">
        <v>1524609</v>
      </c>
      <c r="B3996">
        <v>44.82</v>
      </c>
      <c r="C3996" t="s">
        <v>9856</v>
      </c>
      <c r="D3996" t="s">
        <v>9855</v>
      </c>
      <c r="E3996" t="s">
        <v>49</v>
      </c>
      <c r="F3996" t="s">
        <v>44</v>
      </c>
      <c r="G3996">
        <v>2010</v>
      </c>
      <c r="H3996" t="s">
        <v>3527</v>
      </c>
      <c r="K3996" t="s">
        <v>25</v>
      </c>
      <c r="L3996" t="s">
        <v>30</v>
      </c>
      <c r="M3996" t="b">
        <v>1</v>
      </c>
      <c r="N3996" t="s">
        <v>9851</v>
      </c>
      <c r="Q3996" t="b">
        <v>0</v>
      </c>
      <c r="S3996" t="str">
        <f>"9780310473916"</f>
        <v>9780310473916</v>
      </c>
      <c r="T3996" t="str">
        <f>"9780310871231"</f>
        <v>9780310871231</v>
      </c>
      <c r="U3996" t="b">
        <v>0</v>
      </c>
      <c r="W3996" t="b">
        <v>0</v>
      </c>
    </row>
    <row r="3997" spans="1:23" x14ac:dyDescent="0.3">
      <c r="A3997">
        <v>1524608</v>
      </c>
      <c r="B3997">
        <v>120.72</v>
      </c>
      <c r="C3997" t="s">
        <v>8569</v>
      </c>
      <c r="E3997" t="s">
        <v>49</v>
      </c>
      <c r="F3997" t="s">
        <v>106</v>
      </c>
      <c r="G3997">
        <v>2014</v>
      </c>
      <c r="H3997" t="s">
        <v>6285</v>
      </c>
      <c r="I3997" t="s">
        <v>8570</v>
      </c>
      <c r="K3997" t="s">
        <v>25</v>
      </c>
      <c r="L3997" t="s">
        <v>26</v>
      </c>
      <c r="M3997" t="b">
        <v>1</v>
      </c>
      <c r="N3997" t="s">
        <v>7088</v>
      </c>
      <c r="O3997" t="str">
        <f>"227/.94077"</f>
        <v>227/.94077</v>
      </c>
      <c r="P3997" t="s">
        <v>8581</v>
      </c>
      <c r="Q3997" t="b">
        <v>0</v>
      </c>
      <c r="S3997" t="str">
        <f>"9780310244165"</f>
        <v>9780310244165</v>
      </c>
      <c r="T3997" t="str">
        <f>"9780310518013"</f>
        <v>9780310518013</v>
      </c>
      <c r="U3997" t="b">
        <v>0</v>
      </c>
      <c r="W3997" t="b">
        <v>0</v>
      </c>
    </row>
    <row r="3998" spans="1:23" x14ac:dyDescent="0.3">
      <c r="A3998">
        <v>1524607</v>
      </c>
      <c r="B3998">
        <v>103.47</v>
      </c>
      <c r="C3998" t="s">
        <v>6339</v>
      </c>
      <c r="E3998" t="s">
        <v>49</v>
      </c>
      <c r="F3998" t="s">
        <v>106</v>
      </c>
      <c r="G3998">
        <v>1996</v>
      </c>
      <c r="H3998" t="s">
        <v>1181</v>
      </c>
      <c r="I3998" t="s">
        <v>9844</v>
      </c>
      <c r="K3998" t="s">
        <v>25</v>
      </c>
      <c r="L3998" t="s">
        <v>30</v>
      </c>
      <c r="M3998" t="b">
        <v>1</v>
      </c>
      <c r="N3998" t="s">
        <v>851</v>
      </c>
      <c r="O3998" t="str">
        <f>"227/.9207"</f>
        <v>227/.9207</v>
      </c>
      <c r="P3998" t="s">
        <v>6300</v>
      </c>
      <c r="Q3998" t="b">
        <v>0</v>
      </c>
      <c r="S3998" t="str">
        <f>"9780310492900"</f>
        <v>9780310492900</v>
      </c>
      <c r="T3998" t="str">
        <f>"9780310871200"</f>
        <v>9780310871200</v>
      </c>
      <c r="U3998" t="b">
        <v>0</v>
      </c>
      <c r="W3998" t="b">
        <v>0</v>
      </c>
    </row>
    <row r="3999" spans="1:23" x14ac:dyDescent="0.3">
      <c r="A3999">
        <v>1524606</v>
      </c>
      <c r="B3999">
        <v>103.47</v>
      </c>
      <c r="C3999" t="s">
        <v>88</v>
      </c>
      <c r="E3999" t="s">
        <v>49</v>
      </c>
      <c r="F3999" t="s">
        <v>106</v>
      </c>
      <c r="G3999">
        <v>1994</v>
      </c>
      <c r="H3999" t="s">
        <v>98</v>
      </c>
      <c r="I3999" t="s">
        <v>9847</v>
      </c>
      <c r="K3999" t="s">
        <v>25</v>
      </c>
      <c r="L3999" t="s">
        <v>30</v>
      </c>
      <c r="M3999" t="b">
        <v>1</v>
      </c>
      <c r="N3999" t="s">
        <v>9719</v>
      </c>
      <c r="O3999" t="str">
        <f>"227/.207"</f>
        <v>227/.207</v>
      </c>
      <c r="P3999" t="s">
        <v>6300</v>
      </c>
      <c r="Q3999" t="b">
        <v>0</v>
      </c>
      <c r="S3999" t="str">
        <f>"9780310484905"</f>
        <v>9780310484905</v>
      </c>
      <c r="T3999" t="str">
        <f>"9780310570578"</f>
        <v>9780310570578</v>
      </c>
      <c r="U3999" t="b">
        <v>0</v>
      </c>
      <c r="W3999" t="b">
        <v>0</v>
      </c>
    </row>
    <row r="4000" spans="1:23" x14ac:dyDescent="0.3">
      <c r="A4000">
        <v>1524605</v>
      </c>
      <c r="B4000">
        <v>103.47</v>
      </c>
      <c r="C4000" t="s">
        <v>9857</v>
      </c>
      <c r="E4000" t="s">
        <v>49</v>
      </c>
      <c r="F4000" t="s">
        <v>106</v>
      </c>
      <c r="G4000">
        <v>1999</v>
      </c>
      <c r="H4000" t="s">
        <v>98</v>
      </c>
      <c r="I4000" t="s">
        <v>9858</v>
      </c>
      <c r="K4000" t="s">
        <v>25</v>
      </c>
      <c r="L4000" t="s">
        <v>30</v>
      </c>
      <c r="M4000" t="b">
        <v>1</v>
      </c>
      <c r="N4000" t="s">
        <v>9859</v>
      </c>
      <c r="O4000" t="str">
        <f>"227/.83077"</f>
        <v>227/.83077</v>
      </c>
      <c r="P4000" t="s">
        <v>9343</v>
      </c>
      <c r="Q4000" t="b">
        <v>0</v>
      </c>
      <c r="S4000" t="str">
        <f>"9780310501107"</f>
        <v>9780310501107</v>
      </c>
      <c r="T4000" t="str">
        <f>"9780310871194"</f>
        <v>9780310871194</v>
      </c>
      <c r="U4000" t="b">
        <v>0</v>
      </c>
      <c r="W4000" t="b">
        <v>0</v>
      </c>
    </row>
    <row r="4001" spans="1:23" x14ac:dyDescent="0.3">
      <c r="A4001">
        <v>1524604</v>
      </c>
      <c r="B4001">
        <v>42.61</v>
      </c>
      <c r="C4001" t="s">
        <v>8469</v>
      </c>
      <c r="E4001" t="s">
        <v>49</v>
      </c>
      <c r="F4001" t="s">
        <v>106</v>
      </c>
      <c r="G4001">
        <v>2009</v>
      </c>
      <c r="H4001" t="s">
        <v>6799</v>
      </c>
      <c r="I4001" t="s">
        <v>9860</v>
      </c>
      <c r="K4001" t="s">
        <v>25</v>
      </c>
      <c r="L4001" t="s">
        <v>30</v>
      </c>
      <c r="M4001" t="b">
        <v>1</v>
      </c>
      <c r="N4001" t="s">
        <v>8471</v>
      </c>
      <c r="O4001" t="str">
        <f>"227/.8107"</f>
        <v>227/.8107</v>
      </c>
      <c r="P4001" t="s">
        <v>6606</v>
      </c>
      <c r="Q4001" t="b">
        <v>0</v>
      </c>
      <c r="S4001" t="str">
        <f>"9780310278238"</f>
        <v>9780310278238</v>
      </c>
      <c r="T4001" t="str">
        <f>"9780310870166"</f>
        <v>9780310870166</v>
      </c>
      <c r="U4001" t="b">
        <v>0</v>
      </c>
      <c r="W4001" t="b">
        <v>0</v>
      </c>
    </row>
    <row r="4002" spans="1:23" x14ac:dyDescent="0.3">
      <c r="A4002">
        <v>1524603</v>
      </c>
      <c r="B4002">
        <v>103.47</v>
      </c>
      <c r="C4002" t="s">
        <v>5780</v>
      </c>
      <c r="E4002" t="s">
        <v>49</v>
      </c>
      <c r="F4002" t="s">
        <v>106</v>
      </c>
      <c r="G4002">
        <v>2011</v>
      </c>
      <c r="H4002" t="s">
        <v>6799</v>
      </c>
      <c r="I4002" t="s">
        <v>9861</v>
      </c>
      <c r="K4002" t="s">
        <v>25</v>
      </c>
      <c r="L4002" t="s">
        <v>30</v>
      </c>
      <c r="M4002" t="b">
        <v>1</v>
      </c>
      <c r="N4002" t="s">
        <v>9862</v>
      </c>
      <c r="O4002" t="str">
        <f>"227.81077"</f>
        <v>227.81077</v>
      </c>
      <c r="P4002" t="s">
        <v>9343</v>
      </c>
      <c r="Q4002" t="b">
        <v>0</v>
      </c>
      <c r="S4002" t="str">
        <f>"9780310493808"</f>
        <v>9780310493808</v>
      </c>
      <c r="T4002" t="str">
        <f>"9780310871187"</f>
        <v>9780310871187</v>
      </c>
      <c r="U4002" t="b">
        <v>0</v>
      </c>
      <c r="W4002" t="b">
        <v>0</v>
      </c>
    </row>
    <row r="4003" spans="1:23" x14ac:dyDescent="0.3">
      <c r="A4003">
        <v>1524602</v>
      </c>
      <c r="B4003">
        <v>110.37</v>
      </c>
      <c r="C4003" t="s">
        <v>5780</v>
      </c>
      <c r="E4003" t="s">
        <v>49</v>
      </c>
      <c r="F4003" t="s">
        <v>106</v>
      </c>
      <c r="G4003">
        <v>2014</v>
      </c>
      <c r="H4003" t="s">
        <v>1181</v>
      </c>
      <c r="I4003" t="s">
        <v>9863</v>
      </c>
      <c r="K4003" t="s">
        <v>25</v>
      </c>
      <c r="L4003" t="s">
        <v>26</v>
      </c>
      <c r="M4003" t="b">
        <v>1</v>
      </c>
      <c r="N4003" t="s">
        <v>9864</v>
      </c>
      <c r="O4003" t="str">
        <f>"227/.81077"</f>
        <v>227/.81077</v>
      </c>
      <c r="P4003" t="s">
        <v>6508</v>
      </c>
      <c r="Q4003" t="b">
        <v>0</v>
      </c>
      <c r="S4003" t="str">
        <f>"9780310327264"</f>
        <v>9780310327264</v>
      </c>
      <c r="T4003" t="str">
        <f>"9780310599159"</f>
        <v>9780310599159</v>
      </c>
      <c r="U4003" t="b">
        <v>0</v>
      </c>
      <c r="W4003" t="b">
        <v>0</v>
      </c>
    </row>
    <row r="4004" spans="1:23" x14ac:dyDescent="0.3">
      <c r="A4004">
        <v>1524601</v>
      </c>
      <c r="B4004">
        <v>137.97</v>
      </c>
      <c r="C4004" t="s">
        <v>3437</v>
      </c>
      <c r="E4004" t="s">
        <v>49</v>
      </c>
      <c r="F4004" t="s">
        <v>106</v>
      </c>
      <c r="G4004">
        <v>2003</v>
      </c>
      <c r="H4004" t="s">
        <v>5768</v>
      </c>
      <c r="I4004" t="s">
        <v>6790</v>
      </c>
      <c r="K4004" t="s">
        <v>25</v>
      </c>
      <c r="L4004" t="s">
        <v>30</v>
      </c>
      <c r="M4004" t="b">
        <v>1</v>
      </c>
      <c r="N4004" t="s">
        <v>9865</v>
      </c>
      <c r="O4004" t="str">
        <f>"222/.4077"</f>
        <v>222/.4077</v>
      </c>
      <c r="P4004" t="s">
        <v>6300</v>
      </c>
      <c r="Q4004" t="b">
        <v>0</v>
      </c>
      <c r="S4004" t="str">
        <f>"9780310210863"</f>
        <v>9780310210863</v>
      </c>
      <c r="T4004" t="str">
        <f>"9780310520726"</f>
        <v>9780310520726</v>
      </c>
      <c r="U4004" t="b">
        <v>0</v>
      </c>
      <c r="W4004" t="b">
        <v>0</v>
      </c>
    </row>
    <row r="4005" spans="1:23" x14ac:dyDescent="0.3">
      <c r="A4005">
        <v>1524600</v>
      </c>
      <c r="B4005">
        <v>148.32</v>
      </c>
      <c r="C4005" t="s">
        <v>6308</v>
      </c>
      <c r="E4005" t="s">
        <v>49</v>
      </c>
      <c r="F4005" t="s">
        <v>106</v>
      </c>
      <c r="G4005">
        <v>2009</v>
      </c>
      <c r="H4005" t="s">
        <v>927</v>
      </c>
      <c r="I4005" t="s">
        <v>9866</v>
      </c>
      <c r="K4005" t="s">
        <v>25</v>
      </c>
      <c r="L4005" t="s">
        <v>30</v>
      </c>
      <c r="M4005" t="b">
        <v>1</v>
      </c>
      <c r="N4005" t="s">
        <v>9867</v>
      </c>
      <c r="O4005" t="str">
        <f>"222/.5077"</f>
        <v>222/.5077</v>
      </c>
      <c r="P4005" t="s">
        <v>6300</v>
      </c>
      <c r="Q4005" t="b">
        <v>0</v>
      </c>
      <c r="S4005" t="str">
        <f>"9780310211297"</f>
        <v>9780310211297</v>
      </c>
      <c r="T4005" t="str">
        <f>"9780310865629"</f>
        <v>9780310865629</v>
      </c>
      <c r="U4005" t="b">
        <v>0</v>
      </c>
      <c r="V4005" t="s">
        <v>2872</v>
      </c>
      <c r="W4005" t="b">
        <v>0</v>
      </c>
    </row>
    <row r="4006" spans="1:23" x14ac:dyDescent="0.3">
      <c r="A4006">
        <v>1524599</v>
      </c>
      <c r="B4006">
        <v>148.32</v>
      </c>
      <c r="C4006" t="s">
        <v>6313</v>
      </c>
      <c r="E4006" t="s">
        <v>49</v>
      </c>
      <c r="F4006" t="s">
        <v>106</v>
      </c>
      <c r="G4006">
        <v>2009</v>
      </c>
      <c r="H4006" t="s">
        <v>5768</v>
      </c>
      <c r="I4006" t="s">
        <v>9868</v>
      </c>
      <c r="K4006" t="s">
        <v>25</v>
      </c>
      <c r="L4006" t="s">
        <v>30</v>
      </c>
      <c r="M4006" t="b">
        <v>1</v>
      </c>
      <c r="N4006" t="s">
        <v>8527</v>
      </c>
      <c r="O4006" t="str">
        <f>"222/.6077"</f>
        <v>222/.6077</v>
      </c>
      <c r="P4006" t="s">
        <v>6300</v>
      </c>
      <c r="Q4006" t="b">
        <v>0</v>
      </c>
      <c r="S4006" t="str">
        <f>"9780310206101"</f>
        <v>9780310206101</v>
      </c>
      <c r="T4006" t="str">
        <f>"9780310865612"</f>
        <v>9780310865612</v>
      </c>
      <c r="U4006" t="b">
        <v>0</v>
      </c>
      <c r="V4006" t="s">
        <v>2872</v>
      </c>
      <c r="W4006" t="b">
        <v>0</v>
      </c>
    </row>
    <row r="4007" spans="1:23" x14ac:dyDescent="0.3">
      <c r="A4007">
        <v>279022</v>
      </c>
      <c r="B4007">
        <v>79.319999999999993</v>
      </c>
      <c r="C4007" t="s">
        <v>9870</v>
      </c>
      <c r="D4007" t="s">
        <v>9871</v>
      </c>
      <c r="E4007" t="s">
        <v>49</v>
      </c>
      <c r="F4007" t="s">
        <v>44</v>
      </c>
      <c r="G4007">
        <v>2002</v>
      </c>
      <c r="H4007" t="s">
        <v>50</v>
      </c>
      <c r="I4007" t="s">
        <v>7151</v>
      </c>
      <c r="J4007" t="s">
        <v>7441</v>
      </c>
      <c r="K4007" t="s">
        <v>25</v>
      </c>
      <c r="L4007" t="s">
        <v>26</v>
      </c>
      <c r="M4007" t="b">
        <v>1</v>
      </c>
      <c r="N4007" t="s">
        <v>5770</v>
      </c>
      <c r="O4007" t="str">
        <f>"259/.23"</f>
        <v>259/.23</v>
      </c>
      <c r="Q4007" t="b">
        <v>0</v>
      </c>
      <c r="S4007" t="str">
        <f>"9780310240457"</f>
        <v>9780310240457</v>
      </c>
      <c r="T4007" t="str">
        <f>"9780310569978"</f>
        <v>9780310569978</v>
      </c>
      <c r="U4007" t="b">
        <v>0</v>
      </c>
      <c r="W4007" t="b">
        <v>0</v>
      </c>
    </row>
    <row r="4008" spans="1:23" x14ac:dyDescent="0.3">
      <c r="A4008">
        <v>279019</v>
      </c>
      <c r="B4008">
        <v>44.82</v>
      </c>
      <c r="C4008" t="s">
        <v>9872</v>
      </c>
      <c r="D4008" t="s">
        <v>9873</v>
      </c>
      <c r="E4008" t="s">
        <v>23</v>
      </c>
      <c r="F4008" t="s">
        <v>44</v>
      </c>
      <c r="G4008">
        <v>2008</v>
      </c>
      <c r="H4008" t="s">
        <v>56</v>
      </c>
      <c r="I4008" t="s">
        <v>5674</v>
      </c>
      <c r="J4008" t="s">
        <v>9874</v>
      </c>
      <c r="K4008" t="s">
        <v>25</v>
      </c>
      <c r="L4008" t="s">
        <v>26</v>
      </c>
      <c r="M4008" t="b">
        <v>1</v>
      </c>
      <c r="N4008" t="s">
        <v>4196</v>
      </c>
      <c r="O4008" t="str">
        <f>"248.8/45"</f>
        <v>248.8/45</v>
      </c>
      <c r="Q4008" t="b">
        <v>0</v>
      </c>
      <c r="S4008" t="str">
        <f>"9780310280989"</f>
        <v>9780310280989</v>
      </c>
      <c r="T4008" t="str">
        <f>"9780310543664"</f>
        <v>9780310543664</v>
      </c>
      <c r="U4008" t="b">
        <v>0</v>
      </c>
      <c r="W4008" t="b">
        <v>0</v>
      </c>
    </row>
    <row r="4009" spans="1:23" x14ac:dyDescent="0.3">
      <c r="A4009">
        <v>279016</v>
      </c>
      <c r="B4009">
        <v>79.319999999999993</v>
      </c>
      <c r="C4009" t="s">
        <v>9875</v>
      </c>
      <c r="D4009" t="s">
        <v>9876</v>
      </c>
      <c r="E4009" t="s">
        <v>49</v>
      </c>
      <c r="F4009" t="s">
        <v>44</v>
      </c>
      <c r="G4009">
        <v>2009</v>
      </c>
      <c r="H4009" t="s">
        <v>5848</v>
      </c>
      <c r="I4009" t="s">
        <v>9877</v>
      </c>
      <c r="J4009" t="s">
        <v>9878</v>
      </c>
      <c r="K4009" t="s">
        <v>25</v>
      </c>
      <c r="L4009" t="s">
        <v>26</v>
      </c>
      <c r="M4009" t="b">
        <v>1</v>
      </c>
      <c r="N4009" t="s">
        <v>44</v>
      </c>
      <c r="O4009" t="str">
        <f>"262"</f>
        <v>262</v>
      </c>
      <c r="P4009" t="s">
        <v>6463</v>
      </c>
      <c r="Q4009" t="b">
        <v>0</v>
      </c>
      <c r="S4009" t="str">
        <f>"9780310246077"</f>
        <v>9780310246077</v>
      </c>
      <c r="T4009" t="str">
        <f>"9780310543527"</f>
        <v>9780310543527</v>
      </c>
      <c r="U4009" t="b">
        <v>0</v>
      </c>
      <c r="V4009" t="s">
        <v>9879</v>
      </c>
      <c r="W4009" t="b">
        <v>0</v>
      </c>
    </row>
    <row r="4010" spans="1:23" x14ac:dyDescent="0.3">
      <c r="A4010">
        <v>279006</v>
      </c>
      <c r="B4010">
        <v>44.82</v>
      </c>
      <c r="C4010" t="s">
        <v>9880</v>
      </c>
      <c r="D4010" t="s">
        <v>9881</v>
      </c>
      <c r="E4010" t="s">
        <v>49</v>
      </c>
      <c r="F4010" t="s">
        <v>44</v>
      </c>
      <c r="G4010">
        <v>2003</v>
      </c>
      <c r="H4010" t="s">
        <v>751</v>
      </c>
      <c r="I4010" t="s">
        <v>9882</v>
      </c>
      <c r="J4010" t="s">
        <v>8189</v>
      </c>
      <c r="K4010" t="s">
        <v>25</v>
      </c>
      <c r="L4010" t="s">
        <v>26</v>
      </c>
      <c r="M4010" t="b">
        <v>1</v>
      </c>
      <c r="N4010" t="s">
        <v>8190</v>
      </c>
      <c r="O4010" t="str">
        <f>"253/.7"</f>
        <v>253/.7</v>
      </c>
      <c r="Q4010" t="b">
        <v>0</v>
      </c>
      <c r="S4010" t="str">
        <f>"9780310252290"</f>
        <v>9780310252290</v>
      </c>
      <c r="T4010" t="str">
        <f>"9780310559351"</f>
        <v>9780310559351</v>
      </c>
      <c r="U4010" t="b">
        <v>0</v>
      </c>
      <c r="W4010" t="b">
        <v>0</v>
      </c>
    </row>
    <row r="4011" spans="1:23" x14ac:dyDescent="0.3">
      <c r="A4011">
        <v>278999</v>
      </c>
      <c r="B4011">
        <v>58.62</v>
      </c>
      <c r="C4011" t="s">
        <v>9883</v>
      </c>
      <c r="E4011" t="s">
        <v>49</v>
      </c>
      <c r="F4011" t="s">
        <v>44</v>
      </c>
      <c r="G4011">
        <v>2007</v>
      </c>
      <c r="H4011" t="s">
        <v>1230</v>
      </c>
      <c r="I4011" t="s">
        <v>6406</v>
      </c>
      <c r="J4011" t="s">
        <v>9884</v>
      </c>
      <c r="K4011" t="s">
        <v>25</v>
      </c>
      <c r="L4011" t="s">
        <v>26</v>
      </c>
      <c r="M4011" t="b">
        <v>1</v>
      </c>
      <c r="N4011" t="s">
        <v>44</v>
      </c>
      <c r="O4011" t="str">
        <f>"234/.163"</f>
        <v>234/.163</v>
      </c>
      <c r="P4011" t="s">
        <v>6463</v>
      </c>
      <c r="Q4011" t="b">
        <v>0</v>
      </c>
      <c r="S4011" t="str">
        <f>"9780310262688"</f>
        <v>9780310262688</v>
      </c>
      <c r="T4011" t="str">
        <f>"9780310542759"</f>
        <v>9780310542759</v>
      </c>
      <c r="U4011" t="b">
        <v>0</v>
      </c>
      <c r="W4011" t="b">
        <v>0</v>
      </c>
    </row>
    <row r="4012" spans="1:23" x14ac:dyDescent="0.3">
      <c r="A4012">
        <v>278998</v>
      </c>
      <c r="B4012">
        <v>58.62</v>
      </c>
      <c r="C4012" t="s">
        <v>9885</v>
      </c>
      <c r="D4012" t="s">
        <v>9886</v>
      </c>
      <c r="E4012" t="s">
        <v>23</v>
      </c>
      <c r="F4012" t="s">
        <v>44</v>
      </c>
      <c r="G4012">
        <v>2003</v>
      </c>
      <c r="H4012" t="s">
        <v>756</v>
      </c>
      <c r="I4012" t="s">
        <v>9887</v>
      </c>
      <c r="J4012" t="s">
        <v>9888</v>
      </c>
      <c r="K4012" t="s">
        <v>25</v>
      </c>
      <c r="L4012" t="s">
        <v>26</v>
      </c>
      <c r="M4012" t="b">
        <v>1</v>
      </c>
      <c r="N4012" t="s">
        <v>5348</v>
      </c>
      <c r="O4012" t="str">
        <f>"269/.2"</f>
        <v>269/.2</v>
      </c>
      <c r="Q4012" t="b">
        <v>0</v>
      </c>
      <c r="S4012" t="str">
        <f>"9780310286127"</f>
        <v>9780310286127</v>
      </c>
      <c r="T4012" t="str">
        <f>"9780310315780"</f>
        <v>9780310315780</v>
      </c>
      <c r="U4012" t="b">
        <v>0</v>
      </c>
      <c r="W4012" t="b">
        <v>0</v>
      </c>
    </row>
    <row r="4013" spans="1:23" x14ac:dyDescent="0.3">
      <c r="A4013">
        <v>278990</v>
      </c>
      <c r="B4013">
        <v>68.97</v>
      </c>
      <c r="C4013" t="s">
        <v>9889</v>
      </c>
      <c r="D4013" t="s">
        <v>9890</v>
      </c>
      <c r="E4013" t="s">
        <v>49</v>
      </c>
      <c r="F4013" t="s">
        <v>44</v>
      </c>
      <c r="G4013">
        <v>2007</v>
      </c>
      <c r="H4013" t="s">
        <v>756</v>
      </c>
      <c r="I4013" t="s">
        <v>4566</v>
      </c>
      <c r="J4013" t="s">
        <v>9891</v>
      </c>
      <c r="K4013" t="s">
        <v>25</v>
      </c>
      <c r="L4013" t="s">
        <v>26</v>
      </c>
      <c r="M4013" t="b">
        <v>1</v>
      </c>
      <c r="N4013" t="s">
        <v>910</v>
      </c>
      <c r="O4013" t="str">
        <f>"277.3/0830842"</f>
        <v>277.3/0830842</v>
      </c>
      <c r="Q4013" t="b">
        <v>0</v>
      </c>
      <c r="S4013" t="str">
        <f>"9780310245902"</f>
        <v>9780310245902</v>
      </c>
      <c r="T4013" t="str">
        <f>"9780310298540"</f>
        <v>9780310298540</v>
      </c>
      <c r="U4013" t="b">
        <v>0</v>
      </c>
      <c r="W4013" t="b">
        <v>0</v>
      </c>
    </row>
    <row r="4014" spans="1:23" x14ac:dyDescent="0.3">
      <c r="A4014">
        <v>278989</v>
      </c>
      <c r="B4014">
        <v>120.72</v>
      </c>
      <c r="C4014" t="s">
        <v>9892</v>
      </c>
      <c r="D4014" t="s">
        <v>9893</v>
      </c>
      <c r="E4014" t="s">
        <v>49</v>
      </c>
      <c r="F4014" t="s">
        <v>106</v>
      </c>
      <c r="G4014">
        <v>2007</v>
      </c>
      <c r="H4014" t="s">
        <v>1032</v>
      </c>
      <c r="I4014" t="s">
        <v>9894</v>
      </c>
      <c r="J4014" t="s">
        <v>9895</v>
      </c>
      <c r="K4014" t="s">
        <v>25</v>
      </c>
      <c r="L4014" t="s">
        <v>26</v>
      </c>
      <c r="M4014" t="b">
        <v>1</v>
      </c>
      <c r="N4014" t="s">
        <v>5363</v>
      </c>
      <c r="O4014" t="str">
        <f>"230.09"</f>
        <v>230.09</v>
      </c>
      <c r="Q4014" t="b">
        <v>0</v>
      </c>
      <c r="S4014" t="str">
        <f>"9780310275114"</f>
        <v>9780310275114</v>
      </c>
      <c r="T4014" t="str">
        <f>"9780310298489"</f>
        <v>9780310298489</v>
      </c>
      <c r="U4014" t="b">
        <v>0</v>
      </c>
      <c r="W4014" t="b">
        <v>0</v>
      </c>
    </row>
    <row r="4015" spans="1:23" x14ac:dyDescent="0.3">
      <c r="A4015">
        <v>278988</v>
      </c>
      <c r="B4015">
        <v>42.61</v>
      </c>
      <c r="C4015" t="s">
        <v>9896</v>
      </c>
      <c r="D4015" t="s">
        <v>6662</v>
      </c>
      <c r="E4015" t="s">
        <v>49</v>
      </c>
      <c r="F4015" t="s">
        <v>44</v>
      </c>
      <c r="G4015">
        <v>2009</v>
      </c>
      <c r="H4015" t="s">
        <v>70</v>
      </c>
      <c r="I4015" t="s">
        <v>6905</v>
      </c>
      <c r="J4015" t="s">
        <v>1309</v>
      </c>
      <c r="K4015" t="s">
        <v>25</v>
      </c>
      <c r="L4015" t="s">
        <v>26</v>
      </c>
      <c r="M4015" t="b">
        <v>1</v>
      </c>
      <c r="N4015" t="s">
        <v>2911</v>
      </c>
      <c r="O4015" t="str">
        <f>"239"</f>
        <v>239</v>
      </c>
      <c r="Q4015" t="b">
        <v>0</v>
      </c>
      <c r="S4015" t="str">
        <f>"9780310282921"</f>
        <v>9780310282921</v>
      </c>
      <c r="T4015" t="str">
        <f>"9780310574750"</f>
        <v>9780310574750</v>
      </c>
      <c r="U4015" t="b">
        <v>0</v>
      </c>
      <c r="W4015" t="b">
        <v>0</v>
      </c>
    </row>
    <row r="4016" spans="1:23" x14ac:dyDescent="0.3">
      <c r="A4016">
        <v>278969</v>
      </c>
      <c r="B4016">
        <v>34.47</v>
      </c>
      <c r="C4016" t="s">
        <v>9897</v>
      </c>
      <c r="E4016" t="s">
        <v>49</v>
      </c>
      <c r="F4016" t="s">
        <v>44</v>
      </c>
      <c r="G4016">
        <v>2007</v>
      </c>
      <c r="H4016" t="s">
        <v>70</v>
      </c>
      <c r="I4016" t="s">
        <v>923</v>
      </c>
      <c r="J4016" t="s">
        <v>9898</v>
      </c>
      <c r="K4016" t="s">
        <v>25</v>
      </c>
      <c r="L4016" t="s">
        <v>26</v>
      </c>
      <c r="M4016" t="b">
        <v>1</v>
      </c>
      <c r="N4016" t="s">
        <v>9899</v>
      </c>
      <c r="O4016" t="str">
        <f>"236/.24"</f>
        <v>236/.24</v>
      </c>
      <c r="Q4016" t="b">
        <v>0</v>
      </c>
      <c r="S4016" t="str">
        <f>"9780310254287"</f>
        <v>9780310254287</v>
      </c>
      <c r="T4016" t="str">
        <f>"9780310298281"</f>
        <v>9780310298281</v>
      </c>
      <c r="U4016" t="b">
        <v>0</v>
      </c>
      <c r="W4016" t="b">
        <v>0</v>
      </c>
    </row>
    <row r="4017" spans="1:23" x14ac:dyDescent="0.3">
      <c r="A4017">
        <v>278968</v>
      </c>
      <c r="B4017">
        <v>34.47</v>
      </c>
      <c r="C4017" t="s">
        <v>9900</v>
      </c>
      <c r="E4017" t="s">
        <v>49</v>
      </c>
      <c r="F4017" t="s">
        <v>44</v>
      </c>
      <c r="G4017">
        <v>2007</v>
      </c>
      <c r="H4017" t="s">
        <v>70</v>
      </c>
      <c r="I4017" t="s">
        <v>9901</v>
      </c>
      <c r="J4017" t="s">
        <v>9902</v>
      </c>
      <c r="K4017" t="s">
        <v>25</v>
      </c>
      <c r="L4017" t="s">
        <v>26</v>
      </c>
      <c r="M4017" t="b">
        <v>1</v>
      </c>
      <c r="N4017" t="s">
        <v>9899</v>
      </c>
      <c r="O4017" t="str">
        <f>"235/.3"</f>
        <v>235/.3</v>
      </c>
      <c r="Q4017" t="b">
        <v>0</v>
      </c>
      <c r="S4017" t="str">
        <f>"9780310254294"</f>
        <v>9780310254294</v>
      </c>
      <c r="T4017" t="str">
        <f>"9780310298205"</f>
        <v>9780310298205</v>
      </c>
      <c r="U4017" t="b">
        <v>0</v>
      </c>
      <c r="W4017" t="b">
        <v>0</v>
      </c>
    </row>
    <row r="4018" spans="1:23" x14ac:dyDescent="0.3">
      <c r="A4018">
        <v>278952</v>
      </c>
      <c r="B4018">
        <v>44.82</v>
      </c>
      <c r="C4018" t="s">
        <v>9903</v>
      </c>
      <c r="D4018" t="s">
        <v>9904</v>
      </c>
      <c r="E4018" t="s">
        <v>23</v>
      </c>
      <c r="F4018" t="s">
        <v>44</v>
      </c>
      <c r="G4018">
        <v>2007</v>
      </c>
      <c r="H4018" t="s">
        <v>71</v>
      </c>
      <c r="I4018" t="s">
        <v>6905</v>
      </c>
      <c r="J4018" t="s">
        <v>1309</v>
      </c>
      <c r="K4018" t="s">
        <v>25</v>
      </c>
      <c r="L4018" t="s">
        <v>26</v>
      </c>
      <c r="M4018" t="b">
        <v>1</v>
      </c>
      <c r="N4018" t="s">
        <v>789</v>
      </c>
      <c r="O4018" t="str">
        <f>"230"</f>
        <v>230</v>
      </c>
      <c r="Q4018" t="b">
        <v>0</v>
      </c>
      <c r="S4018" t="str">
        <f>"9780310287582"</f>
        <v>9780310287582</v>
      </c>
      <c r="T4018" t="str">
        <f>"9780310541318"</f>
        <v>9780310541318</v>
      </c>
      <c r="U4018" t="b">
        <v>0</v>
      </c>
      <c r="W4018" t="b">
        <v>0</v>
      </c>
    </row>
    <row r="4019" spans="1:23" x14ac:dyDescent="0.3">
      <c r="A4019">
        <v>278935</v>
      </c>
      <c r="B4019">
        <v>51.72</v>
      </c>
      <c r="C4019" t="s">
        <v>9905</v>
      </c>
      <c r="D4019" t="s">
        <v>9906</v>
      </c>
      <c r="E4019" t="s">
        <v>23</v>
      </c>
      <c r="F4019" t="s">
        <v>44</v>
      </c>
      <c r="G4019">
        <v>2005</v>
      </c>
      <c r="H4019" t="s">
        <v>751</v>
      </c>
      <c r="I4019" t="s">
        <v>9907</v>
      </c>
      <c r="J4019" t="s">
        <v>9908</v>
      </c>
      <c r="K4019" t="s">
        <v>25</v>
      </c>
      <c r="L4019" t="s">
        <v>26</v>
      </c>
      <c r="M4019" t="b">
        <v>1</v>
      </c>
      <c r="N4019" t="s">
        <v>3341</v>
      </c>
      <c r="O4019" t="str">
        <f>"253"</f>
        <v>253</v>
      </c>
      <c r="Q4019" t="b">
        <v>0</v>
      </c>
      <c r="S4019" t="str">
        <f>"9780310275015"</f>
        <v>9780310275015</v>
      </c>
      <c r="T4019" t="str">
        <f>"9780310314813"</f>
        <v>9780310314813</v>
      </c>
      <c r="U4019" t="b">
        <v>0</v>
      </c>
      <c r="W4019" t="b">
        <v>0</v>
      </c>
    </row>
    <row r="4020" spans="1:23" x14ac:dyDescent="0.3">
      <c r="A4020">
        <v>278926</v>
      </c>
      <c r="B4020">
        <v>68.97</v>
      </c>
      <c r="C4020" t="s">
        <v>9909</v>
      </c>
      <c r="D4020" t="s">
        <v>9910</v>
      </c>
      <c r="E4020" t="s">
        <v>49</v>
      </c>
      <c r="F4020" t="s">
        <v>44</v>
      </c>
      <c r="G4020">
        <v>2009</v>
      </c>
      <c r="H4020" t="s">
        <v>5369</v>
      </c>
      <c r="I4020" t="s">
        <v>9911</v>
      </c>
      <c r="J4020" t="s">
        <v>6695</v>
      </c>
      <c r="K4020" t="s">
        <v>25</v>
      </c>
      <c r="L4020" t="s">
        <v>26</v>
      </c>
      <c r="M4020" t="b">
        <v>1</v>
      </c>
      <c r="N4020" t="s">
        <v>6393</v>
      </c>
      <c r="O4020" t="str">
        <f>"254/.1"</f>
        <v>254/.1</v>
      </c>
      <c r="Q4020" t="b">
        <v>0</v>
      </c>
      <c r="S4020" t="str">
        <f>"9780310277163"</f>
        <v>9780310277163</v>
      </c>
      <c r="T4020" t="str">
        <f>"9780310313267"</f>
        <v>9780310313267</v>
      </c>
      <c r="U4020" t="b">
        <v>0</v>
      </c>
      <c r="W4020" t="b">
        <v>0</v>
      </c>
    </row>
    <row r="4021" spans="1:23" x14ac:dyDescent="0.3">
      <c r="A4021">
        <v>278923</v>
      </c>
      <c r="B4021">
        <v>65.52</v>
      </c>
      <c r="C4021" t="s">
        <v>9912</v>
      </c>
      <c r="D4021" t="s">
        <v>9913</v>
      </c>
      <c r="E4021" t="s">
        <v>49</v>
      </c>
      <c r="F4021" t="s">
        <v>44</v>
      </c>
      <c r="G4021">
        <v>2009</v>
      </c>
      <c r="H4021" t="s">
        <v>804</v>
      </c>
      <c r="I4021" t="s">
        <v>8434</v>
      </c>
      <c r="J4021" t="s">
        <v>9914</v>
      </c>
      <c r="K4021" t="s">
        <v>25</v>
      </c>
      <c r="L4021" t="s">
        <v>26</v>
      </c>
      <c r="M4021" t="b">
        <v>1</v>
      </c>
      <c r="N4021" t="s">
        <v>8134</v>
      </c>
      <c r="O4021" t="str">
        <f>"262.001/7"</f>
        <v>262.001/7</v>
      </c>
      <c r="P4021" t="s">
        <v>8206</v>
      </c>
      <c r="Q4021" t="b">
        <v>0</v>
      </c>
      <c r="S4021" t="str">
        <f>"9780310276029"</f>
        <v>9780310276029</v>
      </c>
      <c r="T4021" t="str">
        <f>"9780310574552"</f>
        <v>9780310574552</v>
      </c>
      <c r="U4021" t="b">
        <v>0</v>
      </c>
      <c r="W4021" t="b">
        <v>0</v>
      </c>
    </row>
    <row r="4022" spans="1:23" x14ac:dyDescent="0.3">
      <c r="A4022">
        <v>278912</v>
      </c>
      <c r="B4022">
        <v>44.82</v>
      </c>
      <c r="C4022" t="s">
        <v>9915</v>
      </c>
      <c r="D4022" t="s">
        <v>9916</v>
      </c>
      <c r="E4022" t="s">
        <v>23</v>
      </c>
      <c r="F4022" t="s">
        <v>44</v>
      </c>
      <c r="G4022">
        <v>2009</v>
      </c>
      <c r="H4022" t="s">
        <v>71</v>
      </c>
      <c r="I4022" t="s">
        <v>9917</v>
      </c>
      <c r="J4022" t="s">
        <v>9918</v>
      </c>
      <c r="K4022" t="s">
        <v>25</v>
      </c>
      <c r="L4022" t="s">
        <v>26</v>
      </c>
      <c r="M4022" t="b">
        <v>1</v>
      </c>
      <c r="N4022" t="s">
        <v>9919</v>
      </c>
      <c r="O4022" t="str">
        <f>"248.4"</f>
        <v>248.4</v>
      </c>
      <c r="Q4022" t="b">
        <v>0</v>
      </c>
      <c r="S4022" t="str">
        <f>"9780310274599"</f>
        <v>9780310274599</v>
      </c>
      <c r="T4022" t="str">
        <f>"9780310540007"</f>
        <v>9780310540007</v>
      </c>
      <c r="U4022" t="b">
        <v>0</v>
      </c>
      <c r="V4022" t="s">
        <v>9920</v>
      </c>
      <c r="W4022" t="b">
        <v>0</v>
      </c>
    </row>
    <row r="4023" spans="1:23" x14ac:dyDescent="0.3">
      <c r="A4023">
        <v>278911</v>
      </c>
      <c r="B4023">
        <v>49.71</v>
      </c>
      <c r="C4023" t="s">
        <v>9921</v>
      </c>
      <c r="D4023" t="s">
        <v>9922</v>
      </c>
      <c r="E4023" t="s">
        <v>23</v>
      </c>
      <c r="F4023" t="s">
        <v>44</v>
      </c>
      <c r="G4023">
        <v>2009</v>
      </c>
      <c r="H4023" t="s">
        <v>5369</v>
      </c>
      <c r="I4023" t="s">
        <v>9923</v>
      </c>
      <c r="J4023" t="s">
        <v>9924</v>
      </c>
      <c r="K4023" t="s">
        <v>25</v>
      </c>
      <c r="L4023" t="s">
        <v>26</v>
      </c>
      <c r="M4023" t="b">
        <v>1</v>
      </c>
      <c r="N4023" t="s">
        <v>44</v>
      </c>
      <c r="O4023" t="str">
        <f>"230/.046209051"</f>
        <v>230/.046209051</v>
      </c>
      <c r="Q4023" t="b">
        <v>0</v>
      </c>
      <c r="S4023" t="str">
        <f>"9780310271352"</f>
        <v>9780310271352</v>
      </c>
      <c r="T4023" t="str">
        <f>"9780310297444"</f>
        <v>9780310297444</v>
      </c>
      <c r="U4023" t="b">
        <v>0</v>
      </c>
      <c r="V4023" t="s">
        <v>9920</v>
      </c>
      <c r="W4023" t="b">
        <v>0</v>
      </c>
    </row>
    <row r="4024" spans="1:23" x14ac:dyDescent="0.3">
      <c r="A4024">
        <v>278906</v>
      </c>
      <c r="B4024">
        <v>103.47</v>
      </c>
      <c r="C4024" t="s">
        <v>8520</v>
      </c>
      <c r="E4024" t="s">
        <v>49</v>
      </c>
      <c r="F4024" t="s">
        <v>106</v>
      </c>
      <c r="G4024">
        <v>2006</v>
      </c>
      <c r="H4024" t="s">
        <v>5755</v>
      </c>
      <c r="I4024" t="s">
        <v>9925</v>
      </c>
      <c r="K4024" t="s">
        <v>25</v>
      </c>
      <c r="L4024" t="s">
        <v>26</v>
      </c>
      <c r="M4024" t="b">
        <v>1</v>
      </c>
      <c r="N4024" t="s">
        <v>9926</v>
      </c>
      <c r="O4024" t="str">
        <f>"224/.707"</f>
        <v>224/.707</v>
      </c>
      <c r="P4024" t="s">
        <v>9343</v>
      </c>
      <c r="Q4024" t="b">
        <v>0</v>
      </c>
      <c r="S4024" t="str">
        <f>"9780310207238"</f>
        <v>9780310207238</v>
      </c>
      <c r="T4024" t="str">
        <f>"9780310571711"</f>
        <v>9780310571711</v>
      </c>
      <c r="U4024" t="b">
        <v>0</v>
      </c>
      <c r="W4024" t="b">
        <v>0</v>
      </c>
    </row>
    <row r="4025" spans="1:23" x14ac:dyDescent="0.3">
      <c r="A4025">
        <v>278903</v>
      </c>
      <c r="B4025">
        <v>44.82</v>
      </c>
      <c r="C4025" t="s">
        <v>9927</v>
      </c>
      <c r="D4025" t="s">
        <v>9928</v>
      </c>
      <c r="E4025" t="s">
        <v>49</v>
      </c>
      <c r="F4025" t="s">
        <v>44</v>
      </c>
      <c r="G4025">
        <v>2009</v>
      </c>
      <c r="H4025" t="s">
        <v>6402</v>
      </c>
      <c r="I4025" t="s">
        <v>9929</v>
      </c>
      <c r="J4025" t="s">
        <v>9930</v>
      </c>
      <c r="K4025" t="s">
        <v>25</v>
      </c>
      <c r="L4025" t="s">
        <v>26</v>
      </c>
      <c r="M4025" t="b">
        <v>1</v>
      </c>
      <c r="N4025" t="s">
        <v>9931</v>
      </c>
      <c r="O4025" t="str">
        <f>"261.2/7"</f>
        <v>261.2/7</v>
      </c>
      <c r="Q4025" t="b">
        <v>0</v>
      </c>
      <c r="S4025" t="str">
        <f>"9780310247487"</f>
        <v>9780310247487</v>
      </c>
      <c r="T4025" t="str">
        <f>"9780310539681"</f>
        <v>9780310539681</v>
      </c>
      <c r="U4025" t="b">
        <v>0</v>
      </c>
      <c r="V4025" t="s">
        <v>9920</v>
      </c>
      <c r="W4025" t="b">
        <v>0</v>
      </c>
    </row>
    <row r="4026" spans="1:23" x14ac:dyDescent="0.3">
      <c r="A4026">
        <v>278901</v>
      </c>
      <c r="B4026">
        <v>172.47</v>
      </c>
      <c r="C4026" t="s">
        <v>9932</v>
      </c>
      <c r="D4026" t="s">
        <v>3445</v>
      </c>
      <c r="E4026" t="s">
        <v>49</v>
      </c>
      <c r="F4026" t="s">
        <v>106</v>
      </c>
      <c r="G4026">
        <v>2009</v>
      </c>
      <c r="H4026" t="s">
        <v>5768</v>
      </c>
      <c r="I4026" t="s">
        <v>9933</v>
      </c>
      <c r="K4026" t="s">
        <v>25</v>
      </c>
      <c r="L4026" t="s">
        <v>26</v>
      </c>
      <c r="M4026" t="b">
        <v>1</v>
      </c>
      <c r="N4026" t="s">
        <v>6765</v>
      </c>
      <c r="O4026" t="str">
        <f>"221.6/1"</f>
        <v>221.6/1</v>
      </c>
      <c r="Q4026" t="b">
        <v>0</v>
      </c>
      <c r="S4026" t="str">
        <f>"9780310263418"</f>
        <v>9780310263418</v>
      </c>
      <c r="T4026" t="str">
        <f>"9780310539629"</f>
        <v>9780310539629</v>
      </c>
      <c r="U4026" t="b">
        <v>0</v>
      </c>
      <c r="V4026" t="s">
        <v>9934</v>
      </c>
      <c r="W4026" t="b">
        <v>0</v>
      </c>
    </row>
    <row r="4027" spans="1:23" x14ac:dyDescent="0.3">
      <c r="A4027">
        <v>278900</v>
      </c>
      <c r="B4027">
        <v>172.47</v>
      </c>
      <c r="C4027" t="s">
        <v>9935</v>
      </c>
      <c r="E4027" t="s">
        <v>49</v>
      </c>
      <c r="F4027" t="s">
        <v>106</v>
      </c>
      <c r="G4027">
        <v>2009</v>
      </c>
      <c r="H4027" t="s">
        <v>101</v>
      </c>
      <c r="I4027" t="s">
        <v>9936</v>
      </c>
      <c r="K4027" t="s">
        <v>25</v>
      </c>
      <c r="L4027" t="s">
        <v>26</v>
      </c>
      <c r="M4027" t="b">
        <v>1</v>
      </c>
      <c r="N4027" t="s">
        <v>8090</v>
      </c>
      <c r="O4027" t="str">
        <f>"225.6/1"</f>
        <v>225.6/1</v>
      </c>
      <c r="Q4027" t="b">
        <v>0</v>
      </c>
      <c r="S4027" t="str">
        <f>"9780310238591"</f>
        <v>9780310238591</v>
      </c>
      <c r="T4027" t="str">
        <f>"9780310539551"</f>
        <v>9780310539551</v>
      </c>
      <c r="U4027" t="b">
        <v>0</v>
      </c>
      <c r="V4027" t="s">
        <v>9934</v>
      </c>
      <c r="W4027" t="b">
        <v>0</v>
      </c>
    </row>
    <row r="4028" spans="1:23" x14ac:dyDescent="0.3">
      <c r="A4028">
        <v>278899</v>
      </c>
      <c r="B4028">
        <v>85.25</v>
      </c>
      <c r="C4028" t="s">
        <v>9937</v>
      </c>
      <c r="D4028" t="s">
        <v>9938</v>
      </c>
      <c r="E4028" t="s">
        <v>49</v>
      </c>
      <c r="F4028" t="s">
        <v>106</v>
      </c>
      <c r="G4028">
        <v>2008</v>
      </c>
      <c r="H4028" t="s">
        <v>2933</v>
      </c>
      <c r="I4028" t="s">
        <v>9939</v>
      </c>
      <c r="J4028" t="s">
        <v>9940</v>
      </c>
      <c r="K4028" t="s">
        <v>25</v>
      </c>
      <c r="L4028" t="s">
        <v>26</v>
      </c>
      <c r="M4028" t="b">
        <v>1</v>
      </c>
      <c r="N4028" t="s">
        <v>9941</v>
      </c>
      <c r="O4028" t="str">
        <f>"268"</f>
        <v>268</v>
      </c>
      <c r="Q4028" t="b">
        <v>0</v>
      </c>
      <c r="S4028" t="str">
        <f>"9780310274261"</f>
        <v>9780310274261</v>
      </c>
      <c r="T4028" t="str">
        <f>"9780310574484"</f>
        <v>9780310574484</v>
      </c>
      <c r="U4028" t="b">
        <v>0</v>
      </c>
      <c r="W4028" t="b">
        <v>0</v>
      </c>
    </row>
    <row r="4029" spans="1:23" x14ac:dyDescent="0.3">
      <c r="A4029">
        <v>278898</v>
      </c>
      <c r="B4029">
        <v>58.62</v>
      </c>
      <c r="C4029" t="s">
        <v>9942</v>
      </c>
      <c r="D4029" t="s">
        <v>9943</v>
      </c>
      <c r="E4029" t="s">
        <v>49</v>
      </c>
      <c r="F4029" t="s">
        <v>44</v>
      </c>
      <c r="G4029">
        <v>2009</v>
      </c>
      <c r="H4029" t="s">
        <v>751</v>
      </c>
      <c r="I4029" t="s">
        <v>6413</v>
      </c>
      <c r="J4029" t="s">
        <v>3447</v>
      </c>
      <c r="K4029" t="s">
        <v>25</v>
      </c>
      <c r="L4029" t="s">
        <v>26</v>
      </c>
      <c r="M4029" t="b">
        <v>1</v>
      </c>
      <c r="N4029" t="s">
        <v>9944</v>
      </c>
      <c r="O4029" t="str">
        <f>"253"</f>
        <v>253</v>
      </c>
      <c r="Q4029" t="b">
        <v>0</v>
      </c>
      <c r="S4029" t="str">
        <f>"9780310291138"</f>
        <v>9780310291138</v>
      </c>
      <c r="T4029" t="str">
        <f>"9780310574422"</f>
        <v>9780310574422</v>
      </c>
      <c r="U4029" t="b">
        <v>0</v>
      </c>
      <c r="W4029" t="b">
        <v>0</v>
      </c>
    </row>
    <row r="4030" spans="1:23" x14ac:dyDescent="0.3">
      <c r="A4030">
        <v>278894</v>
      </c>
      <c r="B4030">
        <v>46.16</v>
      </c>
      <c r="C4030" t="s">
        <v>9945</v>
      </c>
      <c r="E4030" t="s">
        <v>23</v>
      </c>
      <c r="F4030" t="s">
        <v>44</v>
      </c>
      <c r="G4030">
        <v>2009</v>
      </c>
      <c r="H4030" t="s">
        <v>5369</v>
      </c>
      <c r="I4030" t="s">
        <v>9946</v>
      </c>
      <c r="J4030" t="s">
        <v>9947</v>
      </c>
      <c r="K4030" t="s">
        <v>25</v>
      </c>
      <c r="L4030" t="s">
        <v>26</v>
      </c>
      <c r="M4030" t="b">
        <v>1</v>
      </c>
      <c r="N4030" t="s">
        <v>789</v>
      </c>
      <c r="O4030" t="str">
        <f>"270.8/3"</f>
        <v>270.8/3</v>
      </c>
      <c r="Q4030" t="b">
        <v>0</v>
      </c>
      <c r="S4030" t="str">
        <f>"9780310283386"</f>
        <v>9780310283386</v>
      </c>
      <c r="T4030" t="str">
        <f>"9780310297376"</f>
        <v>9780310297376</v>
      </c>
      <c r="U4030" t="b">
        <v>0</v>
      </c>
      <c r="W4030" t="b">
        <v>0</v>
      </c>
    </row>
    <row r="4031" spans="1:23" x14ac:dyDescent="0.3">
      <c r="A4031">
        <v>278891</v>
      </c>
      <c r="B4031">
        <v>34.47</v>
      </c>
      <c r="C4031" t="s">
        <v>9948</v>
      </c>
      <c r="D4031" t="s">
        <v>9949</v>
      </c>
      <c r="E4031" t="s">
        <v>23</v>
      </c>
      <c r="F4031" t="s">
        <v>44</v>
      </c>
      <c r="G4031">
        <v>2009</v>
      </c>
      <c r="H4031" t="s">
        <v>50</v>
      </c>
      <c r="I4031" t="s">
        <v>9950</v>
      </c>
      <c r="J4031" t="s">
        <v>9951</v>
      </c>
      <c r="K4031" t="s">
        <v>25</v>
      </c>
      <c r="L4031" t="s">
        <v>26</v>
      </c>
      <c r="M4031" t="b">
        <v>1</v>
      </c>
      <c r="N4031" t="s">
        <v>3442</v>
      </c>
      <c r="O4031" t="str">
        <f>"616.85/82"</f>
        <v>616.85/82</v>
      </c>
      <c r="Q4031" t="b">
        <v>0</v>
      </c>
      <c r="S4031" t="str">
        <f>"9780310277552"</f>
        <v>9780310277552</v>
      </c>
      <c r="T4031" t="str">
        <f>"9780310569565"</f>
        <v>9780310569565</v>
      </c>
      <c r="U4031" t="b">
        <v>0</v>
      </c>
      <c r="V4031" t="s">
        <v>9920</v>
      </c>
      <c r="W4031" t="b">
        <v>0</v>
      </c>
    </row>
    <row r="4032" spans="1:23" x14ac:dyDescent="0.3">
      <c r="A4032">
        <v>278887</v>
      </c>
      <c r="B4032">
        <v>120.72</v>
      </c>
      <c r="C4032" t="s">
        <v>8531</v>
      </c>
      <c r="E4032" t="s">
        <v>49</v>
      </c>
      <c r="F4032" t="s">
        <v>106</v>
      </c>
      <c r="G4032">
        <v>2004</v>
      </c>
      <c r="H4032" t="s">
        <v>5755</v>
      </c>
      <c r="I4032" t="s">
        <v>9952</v>
      </c>
      <c r="K4032" t="s">
        <v>25</v>
      </c>
      <c r="L4032" t="s">
        <v>26</v>
      </c>
      <c r="M4032" t="b">
        <v>1</v>
      </c>
      <c r="N4032" t="s">
        <v>9953</v>
      </c>
      <c r="O4032" t="str">
        <f>"224/.97077"</f>
        <v>224/.97077</v>
      </c>
      <c r="P4032" t="s">
        <v>6300</v>
      </c>
      <c r="Q4032" t="b">
        <v>0</v>
      </c>
      <c r="S4032" t="str">
        <f>"9780310206156"</f>
        <v>9780310206156</v>
      </c>
      <c r="T4032" t="str">
        <f>"9780310571575"</f>
        <v>9780310571575</v>
      </c>
      <c r="U4032" t="b">
        <v>0</v>
      </c>
      <c r="W4032" t="b">
        <v>0</v>
      </c>
    </row>
    <row r="4033" spans="1:23" x14ac:dyDescent="0.3">
      <c r="A4033">
        <v>278882</v>
      </c>
      <c r="B4033">
        <v>93.12</v>
      </c>
      <c r="C4033" t="s">
        <v>6407</v>
      </c>
      <c r="D4033" t="s">
        <v>9954</v>
      </c>
      <c r="E4033" t="s">
        <v>49</v>
      </c>
      <c r="F4033" t="s">
        <v>44</v>
      </c>
      <c r="G4033">
        <v>2009</v>
      </c>
      <c r="H4033" t="s">
        <v>5760</v>
      </c>
      <c r="I4033" t="s">
        <v>9955</v>
      </c>
      <c r="J4033" t="s">
        <v>1231</v>
      </c>
      <c r="K4033" t="s">
        <v>25</v>
      </c>
      <c r="L4033" t="s">
        <v>26</v>
      </c>
      <c r="M4033" t="b">
        <v>1</v>
      </c>
      <c r="N4033" t="s">
        <v>72</v>
      </c>
      <c r="O4033" t="str">
        <f>"230"</f>
        <v>230</v>
      </c>
      <c r="Q4033" t="b">
        <v>0</v>
      </c>
      <c r="S4033" t="str">
        <f>"9780310287292"</f>
        <v>9780310287292</v>
      </c>
      <c r="T4033" t="str">
        <f>"9780310314868"</f>
        <v>9780310314868</v>
      </c>
      <c r="U4033" t="b">
        <v>0</v>
      </c>
      <c r="V4033" t="s">
        <v>9956</v>
      </c>
      <c r="W4033" t="b">
        <v>0</v>
      </c>
    </row>
    <row r="4034" spans="1:23" x14ac:dyDescent="0.3">
      <c r="A4034">
        <v>278879</v>
      </c>
      <c r="B4034">
        <v>58.62</v>
      </c>
      <c r="C4034" t="s">
        <v>9957</v>
      </c>
      <c r="D4034" t="s">
        <v>9958</v>
      </c>
      <c r="E4034" t="s">
        <v>49</v>
      </c>
      <c r="F4034" t="s">
        <v>44</v>
      </c>
      <c r="G4034">
        <v>2008</v>
      </c>
      <c r="H4034" t="s">
        <v>76</v>
      </c>
      <c r="I4034" t="s">
        <v>9959</v>
      </c>
      <c r="J4034" t="s">
        <v>9960</v>
      </c>
      <c r="K4034" t="s">
        <v>25</v>
      </c>
      <c r="L4034" t="s">
        <v>26</v>
      </c>
      <c r="M4034" t="b">
        <v>1</v>
      </c>
      <c r="N4034" t="s">
        <v>6507</v>
      </c>
      <c r="O4034" t="str">
        <f>"231/.8"</f>
        <v>231/.8</v>
      </c>
      <c r="Q4034" t="b">
        <v>0</v>
      </c>
      <c r="S4034" t="str">
        <f>"9780310275466"</f>
        <v>9780310275466</v>
      </c>
      <c r="T4034" t="str">
        <f>"9780310574354"</f>
        <v>9780310574354</v>
      </c>
      <c r="U4034" t="b">
        <v>0</v>
      </c>
      <c r="W4034" t="b">
        <v>0</v>
      </c>
    </row>
    <row r="4035" spans="1:23" x14ac:dyDescent="0.3">
      <c r="A4035">
        <v>278877</v>
      </c>
      <c r="B4035">
        <v>103.47</v>
      </c>
      <c r="C4035" t="s">
        <v>100</v>
      </c>
      <c r="E4035" t="s">
        <v>49</v>
      </c>
      <c r="F4035" t="s">
        <v>106</v>
      </c>
      <c r="G4035">
        <v>1995</v>
      </c>
      <c r="H4035" t="s">
        <v>6799</v>
      </c>
      <c r="I4035" t="s">
        <v>9961</v>
      </c>
      <c r="K4035" t="s">
        <v>25</v>
      </c>
      <c r="L4035" t="s">
        <v>26</v>
      </c>
      <c r="M4035" t="b">
        <v>1</v>
      </c>
      <c r="N4035" t="s">
        <v>851</v>
      </c>
      <c r="O4035" t="str">
        <f>"227/.407"</f>
        <v>227/.407</v>
      </c>
      <c r="P4035" t="s">
        <v>6300</v>
      </c>
      <c r="Q4035" t="b">
        <v>0</v>
      </c>
      <c r="S4035" t="str">
        <f>"9780310484707"</f>
        <v>9780310484707</v>
      </c>
      <c r="T4035" t="str">
        <f>"9780310571445"</f>
        <v>9780310571445</v>
      </c>
      <c r="U4035" t="b">
        <v>0</v>
      </c>
      <c r="W4035" t="b">
        <v>0</v>
      </c>
    </row>
    <row r="4036" spans="1:23" x14ac:dyDescent="0.3">
      <c r="A4036">
        <v>278875</v>
      </c>
      <c r="B4036">
        <v>58.62</v>
      </c>
      <c r="C4036" t="s">
        <v>9962</v>
      </c>
      <c r="D4036" t="s">
        <v>9963</v>
      </c>
      <c r="E4036" t="s">
        <v>49</v>
      </c>
      <c r="F4036" t="s">
        <v>44</v>
      </c>
      <c r="G4036">
        <v>2008</v>
      </c>
      <c r="H4036" t="s">
        <v>5369</v>
      </c>
      <c r="I4036" t="s">
        <v>9964</v>
      </c>
      <c r="J4036" t="s">
        <v>9965</v>
      </c>
      <c r="K4036" t="s">
        <v>25</v>
      </c>
      <c r="L4036" t="s">
        <v>26</v>
      </c>
      <c r="M4036" t="b">
        <v>1</v>
      </c>
      <c r="N4036" t="s">
        <v>9869</v>
      </c>
      <c r="O4036" t="str">
        <f>"280/.4092;B"</f>
        <v>280/.4092;B</v>
      </c>
      <c r="Q4036" t="b">
        <v>0</v>
      </c>
      <c r="S4036" t="str">
        <f>"9780310277194"</f>
        <v>9780310277194</v>
      </c>
      <c r="T4036" t="str">
        <f>"9780310574293"</f>
        <v>9780310574293</v>
      </c>
      <c r="U4036" t="b">
        <v>0</v>
      </c>
      <c r="W4036" t="b">
        <v>0</v>
      </c>
    </row>
    <row r="4037" spans="1:23" x14ac:dyDescent="0.3">
      <c r="A4037">
        <v>278868</v>
      </c>
      <c r="B4037">
        <v>58.62</v>
      </c>
      <c r="C4037" t="s">
        <v>9966</v>
      </c>
      <c r="D4037" t="s">
        <v>9967</v>
      </c>
      <c r="E4037" t="s">
        <v>49</v>
      </c>
      <c r="F4037" t="s">
        <v>44</v>
      </c>
      <c r="G4037">
        <v>2007</v>
      </c>
      <c r="H4037" t="s">
        <v>881</v>
      </c>
      <c r="I4037" t="s">
        <v>9968</v>
      </c>
      <c r="K4037" t="s">
        <v>25</v>
      </c>
      <c r="L4037" t="s">
        <v>26</v>
      </c>
      <c r="M4037" t="b">
        <v>1</v>
      </c>
      <c r="N4037" t="s">
        <v>8822</v>
      </c>
      <c r="O4037" t="str">
        <f>"232"</f>
        <v>232</v>
      </c>
      <c r="Q4037" t="b">
        <v>0</v>
      </c>
      <c r="S4037" t="str">
        <f>"9780310273370"</f>
        <v>9780310273370</v>
      </c>
      <c r="T4037" t="str">
        <f>"9780310558880"</f>
        <v>9780310558880</v>
      </c>
      <c r="U4037" t="b">
        <v>0</v>
      </c>
      <c r="W4037" t="b">
        <v>0</v>
      </c>
    </row>
    <row r="4038" spans="1:23" x14ac:dyDescent="0.3">
      <c r="A4038">
        <v>278866</v>
      </c>
      <c r="B4038">
        <v>103.47</v>
      </c>
      <c r="C4038" t="s">
        <v>9969</v>
      </c>
      <c r="D4038" t="s">
        <v>9970</v>
      </c>
      <c r="E4038" t="s">
        <v>49</v>
      </c>
      <c r="F4038" t="s">
        <v>106</v>
      </c>
      <c r="G4038">
        <v>2005</v>
      </c>
      <c r="H4038" t="s">
        <v>1181</v>
      </c>
      <c r="I4038" t="s">
        <v>9971</v>
      </c>
      <c r="J4038" t="s">
        <v>9972</v>
      </c>
      <c r="K4038" t="s">
        <v>25</v>
      </c>
      <c r="L4038" t="s">
        <v>26</v>
      </c>
      <c r="M4038" t="b">
        <v>1</v>
      </c>
      <c r="N4038" t="s">
        <v>9973</v>
      </c>
      <c r="O4038" t="str">
        <f>"251"</f>
        <v>251</v>
      </c>
      <c r="Q4038" t="b">
        <v>0</v>
      </c>
      <c r="S4038" t="str">
        <f>"9780310263098"</f>
        <v>9780310263098</v>
      </c>
      <c r="T4038" t="str">
        <f>"9780310314554"</f>
        <v>9780310314554</v>
      </c>
      <c r="U4038" t="b">
        <v>0</v>
      </c>
      <c r="W4038" t="b">
        <v>0</v>
      </c>
    </row>
    <row r="4039" spans="1:23" x14ac:dyDescent="0.3">
      <c r="A4039">
        <v>278862</v>
      </c>
      <c r="B4039">
        <v>68.97</v>
      </c>
      <c r="C4039" t="s">
        <v>9974</v>
      </c>
      <c r="D4039" t="s">
        <v>9975</v>
      </c>
      <c r="E4039" t="s">
        <v>23</v>
      </c>
      <c r="F4039" t="s">
        <v>44</v>
      </c>
      <c r="G4039">
        <v>2008</v>
      </c>
      <c r="H4039" t="s">
        <v>50</v>
      </c>
      <c r="I4039" t="s">
        <v>7151</v>
      </c>
      <c r="J4039" t="s">
        <v>9976</v>
      </c>
      <c r="K4039" t="s">
        <v>25</v>
      </c>
      <c r="L4039" t="s">
        <v>26</v>
      </c>
      <c r="M4039" t="b">
        <v>1</v>
      </c>
      <c r="N4039" t="s">
        <v>2312</v>
      </c>
      <c r="O4039" t="str">
        <f>"248.3/20712"</f>
        <v>248.3/20712</v>
      </c>
      <c r="Q4039" t="b">
        <v>0</v>
      </c>
      <c r="S4039" t="str">
        <f>"9780310283621"</f>
        <v>9780310283621</v>
      </c>
      <c r="T4039" t="str">
        <f>"9780310569442"</f>
        <v>9780310569442</v>
      </c>
      <c r="U4039" t="b">
        <v>0</v>
      </c>
      <c r="W4039" t="b">
        <v>0</v>
      </c>
    </row>
    <row r="4040" spans="1:23" x14ac:dyDescent="0.3">
      <c r="A4040">
        <v>278843</v>
      </c>
      <c r="B4040">
        <v>44.82</v>
      </c>
      <c r="C4040" t="s">
        <v>9977</v>
      </c>
      <c r="D4040" t="s">
        <v>9978</v>
      </c>
      <c r="E4040" t="s">
        <v>23</v>
      </c>
      <c r="F4040" t="s">
        <v>1282</v>
      </c>
      <c r="G4040">
        <v>2008</v>
      </c>
      <c r="H4040" t="s">
        <v>2079</v>
      </c>
      <c r="I4040" t="s">
        <v>9979</v>
      </c>
      <c r="J4040" t="s">
        <v>9980</v>
      </c>
      <c r="K4040" t="s">
        <v>25</v>
      </c>
      <c r="L4040" t="s">
        <v>26</v>
      </c>
      <c r="M4040" t="b">
        <v>1</v>
      </c>
      <c r="N4040" t="s">
        <v>9981</v>
      </c>
      <c r="O4040" t="str">
        <f>"248.8/3"</f>
        <v>248.8/3</v>
      </c>
      <c r="Q4040" t="b">
        <v>0</v>
      </c>
      <c r="S4040" t="str">
        <f>"9780310277255"</f>
        <v>9780310277255</v>
      </c>
      <c r="T4040" t="str">
        <f>"9780310569268"</f>
        <v>9780310569268</v>
      </c>
      <c r="U4040" t="b">
        <v>0</v>
      </c>
      <c r="W4040" t="b">
        <v>0</v>
      </c>
    </row>
    <row r="4041" spans="1:23" x14ac:dyDescent="0.3">
      <c r="A4041">
        <v>278842</v>
      </c>
      <c r="B4041">
        <v>65.52</v>
      </c>
      <c r="C4041" t="s">
        <v>9982</v>
      </c>
      <c r="D4041" t="s">
        <v>9983</v>
      </c>
      <c r="E4041" t="s">
        <v>49</v>
      </c>
      <c r="F4041" t="s">
        <v>44</v>
      </c>
      <c r="G4041">
        <v>2006</v>
      </c>
      <c r="H4041" t="s">
        <v>751</v>
      </c>
      <c r="I4041" t="s">
        <v>9984</v>
      </c>
      <c r="J4041" t="s">
        <v>9985</v>
      </c>
      <c r="K4041" t="s">
        <v>25</v>
      </c>
      <c r="L4041" t="s">
        <v>26</v>
      </c>
      <c r="M4041" t="b">
        <v>1</v>
      </c>
      <c r="N4041" t="s">
        <v>6481</v>
      </c>
      <c r="O4041" t="str">
        <f>"280.4"</f>
        <v>280.4</v>
      </c>
      <c r="P4041" t="s">
        <v>8206</v>
      </c>
      <c r="Q4041" t="b">
        <v>0</v>
      </c>
      <c r="S4041" t="str">
        <f>"9780310270164"</f>
        <v>9780310270164</v>
      </c>
      <c r="T4041" t="str">
        <f>"9780310315124"</f>
        <v>9780310315124</v>
      </c>
      <c r="U4041" t="b">
        <v>0</v>
      </c>
      <c r="W4041" t="b">
        <v>0</v>
      </c>
    </row>
    <row r="4042" spans="1:23" x14ac:dyDescent="0.3">
      <c r="A4042">
        <v>278841</v>
      </c>
      <c r="B4042">
        <v>58.62</v>
      </c>
      <c r="C4042" t="s">
        <v>9986</v>
      </c>
      <c r="D4042" t="s">
        <v>9987</v>
      </c>
      <c r="E4042" t="s">
        <v>49</v>
      </c>
      <c r="F4042" t="s">
        <v>44</v>
      </c>
      <c r="G4042">
        <v>2003</v>
      </c>
      <c r="H4042" t="s">
        <v>751</v>
      </c>
      <c r="I4042" t="s">
        <v>2656</v>
      </c>
      <c r="J4042" t="s">
        <v>9988</v>
      </c>
      <c r="K4042" t="s">
        <v>25</v>
      </c>
      <c r="L4042" t="s">
        <v>26</v>
      </c>
      <c r="M4042" t="b">
        <v>1</v>
      </c>
      <c r="N4042" t="s">
        <v>8186</v>
      </c>
      <c r="O4042" t="str">
        <f>"248.4"</f>
        <v>248.4</v>
      </c>
      <c r="Q4042" t="b">
        <v>0</v>
      </c>
      <c r="S4042" t="str">
        <f>"9780310244202"</f>
        <v>9780310244202</v>
      </c>
      <c r="T4042" t="str">
        <f>"9780310314431"</f>
        <v>9780310314431</v>
      </c>
      <c r="U4042" t="b">
        <v>0</v>
      </c>
      <c r="W4042" t="b">
        <v>0</v>
      </c>
    </row>
    <row r="4043" spans="1:23" x14ac:dyDescent="0.3">
      <c r="A4043">
        <v>278840</v>
      </c>
      <c r="B4043">
        <v>113.82</v>
      </c>
      <c r="C4043" t="s">
        <v>9989</v>
      </c>
      <c r="E4043" t="s">
        <v>49</v>
      </c>
      <c r="F4043" t="s">
        <v>106</v>
      </c>
      <c r="G4043">
        <v>1998</v>
      </c>
      <c r="H4043" t="s">
        <v>6799</v>
      </c>
      <c r="I4043" t="s">
        <v>9990</v>
      </c>
      <c r="K4043" t="s">
        <v>25</v>
      </c>
      <c r="L4043" t="s">
        <v>26</v>
      </c>
      <c r="M4043" t="b">
        <v>1</v>
      </c>
      <c r="N4043" t="s">
        <v>8481</v>
      </c>
      <c r="O4043" t="str">
        <f>"227/.7077"</f>
        <v>227/.7077</v>
      </c>
      <c r="P4043" t="s">
        <v>6300</v>
      </c>
      <c r="Q4043" t="b">
        <v>0</v>
      </c>
      <c r="S4043" t="str">
        <f>"9780310484806"</f>
        <v>9780310484806</v>
      </c>
      <c r="T4043" t="str">
        <f>"9780310570974"</f>
        <v>9780310570974</v>
      </c>
      <c r="U4043" t="b">
        <v>0</v>
      </c>
      <c r="W4043" t="b">
        <v>0</v>
      </c>
    </row>
    <row r="4044" spans="1:23" x14ac:dyDescent="0.3">
      <c r="A4044">
        <v>278837</v>
      </c>
      <c r="B4044">
        <v>86.22</v>
      </c>
      <c r="C4044" t="s">
        <v>9991</v>
      </c>
      <c r="D4044" t="s">
        <v>9992</v>
      </c>
      <c r="E4044" t="s">
        <v>49</v>
      </c>
      <c r="F4044" t="s">
        <v>44</v>
      </c>
      <c r="G4044">
        <v>2006</v>
      </c>
      <c r="H4044" t="s">
        <v>1181</v>
      </c>
      <c r="I4044" t="s">
        <v>9993</v>
      </c>
      <c r="J4044" t="s">
        <v>6985</v>
      </c>
      <c r="K4044" t="s">
        <v>25</v>
      </c>
      <c r="L4044" t="s">
        <v>26</v>
      </c>
      <c r="M4044" t="b">
        <v>1</v>
      </c>
      <c r="N4044" t="s">
        <v>9994</v>
      </c>
      <c r="O4044" t="str">
        <f>"251"</f>
        <v>251</v>
      </c>
      <c r="Q4044" t="b">
        <v>0</v>
      </c>
      <c r="S4044" t="str">
        <f>"9780310267508"</f>
        <v>9780310267508</v>
      </c>
      <c r="T4044" t="str">
        <f>"9780310570905"</f>
        <v>9780310570905</v>
      </c>
      <c r="U4044" t="b">
        <v>0</v>
      </c>
      <c r="W4044" t="b">
        <v>0</v>
      </c>
    </row>
    <row r="4045" spans="1:23" x14ac:dyDescent="0.3">
      <c r="A4045">
        <v>278830</v>
      </c>
      <c r="B4045">
        <v>58.62</v>
      </c>
      <c r="C4045" t="s">
        <v>9995</v>
      </c>
      <c r="D4045" t="s">
        <v>9996</v>
      </c>
      <c r="E4045" t="s">
        <v>49</v>
      </c>
      <c r="F4045" t="s">
        <v>44</v>
      </c>
      <c r="G4045">
        <v>2009</v>
      </c>
      <c r="H4045" t="s">
        <v>70</v>
      </c>
      <c r="I4045" t="s">
        <v>6905</v>
      </c>
      <c r="J4045" t="s">
        <v>1309</v>
      </c>
      <c r="K4045" t="s">
        <v>25</v>
      </c>
      <c r="L4045" t="s">
        <v>26</v>
      </c>
      <c r="M4045" t="b">
        <v>1</v>
      </c>
      <c r="N4045" t="s">
        <v>9997</v>
      </c>
      <c r="O4045" t="str">
        <f>"239"</f>
        <v>239</v>
      </c>
      <c r="Q4045" t="b">
        <v>0</v>
      </c>
      <c r="S4045" t="str">
        <f>"9780310283201"</f>
        <v>9780310283201</v>
      </c>
      <c r="T4045" t="str">
        <f>"9780310314356"</f>
        <v>9780310314356</v>
      </c>
      <c r="U4045" t="b">
        <v>0</v>
      </c>
      <c r="W4045" t="b">
        <v>0</v>
      </c>
    </row>
    <row r="4046" spans="1:23" x14ac:dyDescent="0.3">
      <c r="A4046">
        <v>278821</v>
      </c>
      <c r="B4046">
        <v>65.52</v>
      </c>
      <c r="C4046" t="s">
        <v>9998</v>
      </c>
      <c r="D4046" t="s">
        <v>9999</v>
      </c>
      <c r="E4046" t="s">
        <v>49</v>
      </c>
      <c r="F4046" t="s">
        <v>44</v>
      </c>
      <c r="G4046">
        <v>2007</v>
      </c>
      <c r="H4046" t="s">
        <v>5369</v>
      </c>
      <c r="I4046" t="s">
        <v>10000</v>
      </c>
      <c r="J4046" t="s">
        <v>10001</v>
      </c>
      <c r="K4046" t="s">
        <v>25</v>
      </c>
      <c r="L4046" t="s">
        <v>26</v>
      </c>
      <c r="M4046" t="b">
        <v>1</v>
      </c>
      <c r="N4046" t="s">
        <v>10002</v>
      </c>
      <c r="O4046" t="str">
        <f>"253"</f>
        <v>253</v>
      </c>
      <c r="P4046" t="s">
        <v>8206</v>
      </c>
      <c r="Q4046" t="b">
        <v>0</v>
      </c>
      <c r="S4046" t="str">
        <f>"9780310272410"</f>
        <v>9780310272410</v>
      </c>
      <c r="T4046" t="str">
        <f>"9780310313960"</f>
        <v>9780310313960</v>
      </c>
      <c r="U4046" t="b">
        <v>0</v>
      </c>
      <c r="W4046" t="b">
        <v>0</v>
      </c>
    </row>
    <row r="4047" spans="1:23" x14ac:dyDescent="0.3">
      <c r="A4047">
        <v>278820</v>
      </c>
      <c r="B4047">
        <v>86.22</v>
      </c>
      <c r="C4047" t="s">
        <v>10003</v>
      </c>
      <c r="D4047" t="s">
        <v>10004</v>
      </c>
      <c r="E4047" t="s">
        <v>49</v>
      </c>
      <c r="F4047" t="s">
        <v>44</v>
      </c>
      <c r="G4047">
        <v>2007</v>
      </c>
      <c r="H4047" t="s">
        <v>3415</v>
      </c>
      <c r="I4047" t="s">
        <v>10005</v>
      </c>
      <c r="K4047" t="s">
        <v>25</v>
      </c>
      <c r="L4047" t="s">
        <v>26</v>
      </c>
      <c r="M4047" t="b">
        <v>1</v>
      </c>
      <c r="N4047" t="s">
        <v>7604</v>
      </c>
      <c r="O4047" t="str">
        <f>"220.6/1"</f>
        <v>220.6/1</v>
      </c>
      <c r="Q4047" t="b">
        <v>0</v>
      </c>
      <c r="S4047" t="str">
        <f>"9780310273882"</f>
        <v>9780310273882</v>
      </c>
      <c r="T4047" t="str">
        <f>"9780310314202"</f>
        <v>9780310314202</v>
      </c>
      <c r="U4047" t="b">
        <v>0</v>
      </c>
      <c r="V4047" t="s">
        <v>10006</v>
      </c>
      <c r="W4047" t="b">
        <v>0</v>
      </c>
    </row>
    <row r="4048" spans="1:23" x14ac:dyDescent="0.3">
      <c r="A4048">
        <v>278818</v>
      </c>
      <c r="B4048">
        <v>51.72</v>
      </c>
      <c r="C4048" t="s">
        <v>10007</v>
      </c>
      <c r="D4048" t="s">
        <v>10008</v>
      </c>
      <c r="E4048" t="s">
        <v>23</v>
      </c>
      <c r="F4048" t="s">
        <v>44</v>
      </c>
      <c r="G4048">
        <v>2005</v>
      </c>
      <c r="H4048" t="s">
        <v>71</v>
      </c>
      <c r="I4048" t="s">
        <v>10009</v>
      </c>
      <c r="J4048" t="s">
        <v>10010</v>
      </c>
      <c r="K4048" t="s">
        <v>25</v>
      </c>
      <c r="L4048" t="s">
        <v>26</v>
      </c>
      <c r="M4048" t="b">
        <v>1</v>
      </c>
      <c r="N4048" t="s">
        <v>8562</v>
      </c>
      <c r="O4048" t="str">
        <f>"262"</f>
        <v>262</v>
      </c>
      <c r="Q4048" t="b">
        <v>0</v>
      </c>
      <c r="S4048" t="str">
        <f>"9780310259473"</f>
        <v>9780310259473</v>
      </c>
      <c r="T4048" t="str">
        <f>"9780310296485"</f>
        <v>9780310296485</v>
      </c>
      <c r="U4048" t="b">
        <v>0</v>
      </c>
      <c r="W4048" t="b">
        <v>0</v>
      </c>
    </row>
    <row r="4049" spans="1:23" x14ac:dyDescent="0.3">
      <c r="A4049">
        <v>278814</v>
      </c>
      <c r="B4049">
        <v>172.47</v>
      </c>
      <c r="C4049" t="s">
        <v>10011</v>
      </c>
      <c r="D4049" t="s">
        <v>10012</v>
      </c>
      <c r="E4049" t="s">
        <v>49</v>
      </c>
      <c r="F4049" t="s">
        <v>44</v>
      </c>
      <c r="G4049">
        <v>2005</v>
      </c>
      <c r="H4049" t="s">
        <v>1181</v>
      </c>
      <c r="I4049" t="s">
        <v>10013</v>
      </c>
      <c r="K4049" t="s">
        <v>25</v>
      </c>
      <c r="L4049" t="s">
        <v>26</v>
      </c>
      <c r="M4049" t="b">
        <v>1</v>
      </c>
      <c r="N4049" t="s">
        <v>44</v>
      </c>
      <c r="O4049" t="str">
        <f>"251.003"</f>
        <v>251.003</v>
      </c>
      <c r="Q4049" t="b">
        <v>0</v>
      </c>
      <c r="S4049" t="str">
        <f>"9780310252481"</f>
        <v>9780310252481</v>
      </c>
      <c r="T4049" t="str">
        <f>"9780310296409"</f>
        <v>9780310296409</v>
      </c>
      <c r="U4049" t="b">
        <v>0</v>
      </c>
      <c r="V4049" t="s">
        <v>2341</v>
      </c>
      <c r="W4049" t="b">
        <v>0</v>
      </c>
    </row>
    <row r="4050" spans="1:23" x14ac:dyDescent="0.3">
      <c r="A4050">
        <v>278809</v>
      </c>
      <c r="B4050">
        <v>137.97</v>
      </c>
      <c r="C4050" t="s">
        <v>907</v>
      </c>
      <c r="E4050" t="s">
        <v>49</v>
      </c>
      <c r="F4050" t="s">
        <v>106</v>
      </c>
      <c r="G4050">
        <v>1998</v>
      </c>
      <c r="H4050" t="s">
        <v>6799</v>
      </c>
      <c r="I4050" t="s">
        <v>10014</v>
      </c>
      <c r="K4050" t="s">
        <v>25</v>
      </c>
      <c r="L4050" t="s">
        <v>26</v>
      </c>
      <c r="M4050" t="b">
        <v>1</v>
      </c>
      <c r="N4050" t="s">
        <v>9203</v>
      </c>
      <c r="O4050" t="str">
        <f>"226.6077"</f>
        <v>226.6077</v>
      </c>
      <c r="P4050" t="s">
        <v>6300</v>
      </c>
      <c r="Q4050" t="b">
        <v>0</v>
      </c>
      <c r="S4050" t="str">
        <f>"9780310494102"</f>
        <v>9780310494102</v>
      </c>
      <c r="T4050" t="str">
        <f>"9780310558767"</f>
        <v>9780310558767</v>
      </c>
      <c r="U4050" t="b">
        <v>0</v>
      </c>
      <c r="W4050" t="b">
        <v>0</v>
      </c>
    </row>
    <row r="4051" spans="1:23" x14ac:dyDescent="0.3">
      <c r="A4051">
        <v>275203</v>
      </c>
      <c r="B4051">
        <v>55.17</v>
      </c>
      <c r="C4051" t="s">
        <v>10015</v>
      </c>
      <c r="D4051" t="s">
        <v>10016</v>
      </c>
      <c r="E4051" t="s">
        <v>23</v>
      </c>
      <c r="F4051" t="s">
        <v>44</v>
      </c>
      <c r="G4051">
        <v>2009</v>
      </c>
      <c r="H4051" t="s">
        <v>50</v>
      </c>
      <c r="I4051" t="s">
        <v>10017</v>
      </c>
      <c r="J4051" t="s">
        <v>10018</v>
      </c>
      <c r="K4051" t="s">
        <v>25</v>
      </c>
      <c r="L4051" t="s">
        <v>26</v>
      </c>
      <c r="M4051" t="b">
        <v>1</v>
      </c>
      <c r="N4051" t="s">
        <v>7194</v>
      </c>
      <c r="O4051" t="str">
        <f>"259/.24"</f>
        <v>259/.24</v>
      </c>
      <c r="Q4051" t="b">
        <v>0</v>
      </c>
      <c r="S4051" t="str">
        <f>"9780310285472"</f>
        <v>9780310285472</v>
      </c>
      <c r="T4051" t="str">
        <f>"9780310557531"</f>
        <v>9780310557531</v>
      </c>
      <c r="U4051" t="b">
        <v>0</v>
      </c>
      <c r="W4051" t="b">
        <v>0</v>
      </c>
    </row>
    <row r="4052" spans="1:23" x14ac:dyDescent="0.3">
      <c r="A4052">
        <v>268563</v>
      </c>
      <c r="B4052">
        <v>65.52</v>
      </c>
      <c r="C4052" t="s">
        <v>10019</v>
      </c>
      <c r="D4052" t="s">
        <v>10020</v>
      </c>
      <c r="E4052" t="s">
        <v>49</v>
      </c>
      <c r="F4052" t="s">
        <v>106</v>
      </c>
      <c r="G4052">
        <v>2008</v>
      </c>
      <c r="H4052" t="s">
        <v>71</v>
      </c>
      <c r="I4052" t="s">
        <v>7132</v>
      </c>
      <c r="J4052" t="s">
        <v>9349</v>
      </c>
      <c r="K4052" t="s">
        <v>25</v>
      </c>
      <c r="L4052" t="s">
        <v>26</v>
      </c>
      <c r="M4052" t="b">
        <v>1</v>
      </c>
      <c r="N4052" t="s">
        <v>44</v>
      </c>
      <c r="O4052" t="str">
        <f>"232/.3"</f>
        <v>232/.3</v>
      </c>
      <c r="Q4052" t="b">
        <v>0</v>
      </c>
      <c r="S4052" t="str">
        <f>"9780310273394"</f>
        <v>9780310273394</v>
      </c>
      <c r="T4052" t="str">
        <f>"9780310321491"</f>
        <v>9780310321491</v>
      </c>
      <c r="U4052" t="b">
        <v>0</v>
      </c>
      <c r="W4052" t="b">
        <v>0</v>
      </c>
    </row>
    <row r="4053" spans="1:23" x14ac:dyDescent="0.3">
      <c r="A4053">
        <v>268556</v>
      </c>
      <c r="B4053">
        <v>62.07</v>
      </c>
      <c r="C4053" t="s">
        <v>10021</v>
      </c>
      <c r="D4053" t="s">
        <v>936</v>
      </c>
      <c r="E4053" t="s">
        <v>49</v>
      </c>
      <c r="F4053" t="s">
        <v>106</v>
      </c>
      <c r="G4053">
        <v>2009</v>
      </c>
      <c r="H4053" t="s">
        <v>9589</v>
      </c>
      <c r="I4053" t="s">
        <v>937</v>
      </c>
      <c r="J4053" t="s">
        <v>938</v>
      </c>
      <c r="K4053" t="s">
        <v>25</v>
      </c>
      <c r="L4053" t="s">
        <v>26</v>
      </c>
      <c r="M4053" t="b">
        <v>1</v>
      </c>
      <c r="N4053" t="s">
        <v>939</v>
      </c>
      <c r="O4053" t="str">
        <f>"230"</f>
        <v>230</v>
      </c>
      <c r="Q4053" t="b">
        <v>0</v>
      </c>
      <c r="S4053" t="str">
        <f>"9780310255994"</f>
        <v>9780310255994</v>
      </c>
      <c r="T4053" t="str">
        <f>"9780310322092"</f>
        <v>9780310322092</v>
      </c>
      <c r="U4053" t="b">
        <v>0</v>
      </c>
      <c r="W4053" t="b">
        <v>0</v>
      </c>
    </row>
    <row r="4054" spans="1:23" x14ac:dyDescent="0.3">
      <c r="A4054">
        <v>268553</v>
      </c>
      <c r="B4054">
        <v>65.52</v>
      </c>
      <c r="C4054" t="s">
        <v>10022</v>
      </c>
      <c r="D4054" t="s">
        <v>10023</v>
      </c>
      <c r="E4054" t="s">
        <v>49</v>
      </c>
      <c r="F4054" t="s">
        <v>44</v>
      </c>
      <c r="G4054">
        <v>2009</v>
      </c>
      <c r="H4054" t="s">
        <v>751</v>
      </c>
      <c r="I4054" t="s">
        <v>10024</v>
      </c>
      <c r="J4054" t="s">
        <v>10025</v>
      </c>
      <c r="K4054" t="s">
        <v>25</v>
      </c>
      <c r="L4054" t="s">
        <v>26</v>
      </c>
      <c r="M4054" t="b">
        <v>1</v>
      </c>
      <c r="N4054" t="s">
        <v>10026</v>
      </c>
      <c r="O4054" t="str">
        <f>"253"</f>
        <v>253</v>
      </c>
      <c r="P4054" t="s">
        <v>8206</v>
      </c>
      <c r="Q4054" t="b">
        <v>0</v>
      </c>
      <c r="S4054" t="str">
        <f>"9780310285670"</f>
        <v>9780310285670</v>
      </c>
      <c r="T4054" t="str">
        <f>"9780310321668"</f>
        <v>9780310321668</v>
      </c>
      <c r="U4054" t="b">
        <v>0</v>
      </c>
      <c r="W4054" t="b">
        <v>0</v>
      </c>
    </row>
    <row r="4055" spans="1:23" x14ac:dyDescent="0.3">
      <c r="A4055">
        <v>268552</v>
      </c>
      <c r="B4055">
        <v>68.97</v>
      </c>
      <c r="C4055" t="s">
        <v>10027</v>
      </c>
      <c r="D4055" t="s">
        <v>4247</v>
      </c>
      <c r="E4055" t="s">
        <v>49</v>
      </c>
      <c r="F4055" t="s">
        <v>44</v>
      </c>
      <c r="G4055">
        <v>2005</v>
      </c>
      <c r="H4055" t="s">
        <v>52</v>
      </c>
      <c r="I4055" t="s">
        <v>4248</v>
      </c>
      <c r="J4055" t="s">
        <v>10028</v>
      </c>
      <c r="K4055" t="s">
        <v>25</v>
      </c>
      <c r="L4055" t="s">
        <v>26</v>
      </c>
      <c r="M4055" t="b">
        <v>1</v>
      </c>
      <c r="N4055" t="s">
        <v>2666</v>
      </c>
      <c r="O4055" t="str">
        <f>"259/.14"</f>
        <v>259/.14</v>
      </c>
      <c r="Q4055" t="b">
        <v>0</v>
      </c>
      <c r="S4055" t="str">
        <f>"9780310270461"</f>
        <v>9780310270461</v>
      </c>
      <c r="T4055" t="str">
        <f>"9780310319290"</f>
        <v>9780310319290</v>
      </c>
      <c r="U4055" t="b">
        <v>0</v>
      </c>
      <c r="W4055" t="b">
        <v>0</v>
      </c>
    </row>
    <row r="4056" spans="1:23" x14ac:dyDescent="0.3">
      <c r="A4056">
        <v>268551</v>
      </c>
      <c r="B4056">
        <v>89.67</v>
      </c>
      <c r="C4056" t="s">
        <v>10029</v>
      </c>
      <c r="D4056" t="s">
        <v>10030</v>
      </c>
      <c r="E4056" t="s">
        <v>49</v>
      </c>
      <c r="F4056" t="s">
        <v>106</v>
      </c>
      <c r="G4056">
        <v>2003</v>
      </c>
      <c r="H4056" t="s">
        <v>76</v>
      </c>
      <c r="I4056" t="s">
        <v>10031</v>
      </c>
      <c r="K4056" t="s">
        <v>25</v>
      </c>
      <c r="L4056" t="s">
        <v>26</v>
      </c>
      <c r="M4056" t="b">
        <v>1</v>
      </c>
      <c r="N4056" t="s">
        <v>44</v>
      </c>
      <c r="O4056" t="str">
        <f>"220.5"</f>
        <v>220.5</v>
      </c>
      <c r="Q4056" t="b">
        <v>0</v>
      </c>
      <c r="S4056" t="str">
        <f>"9780310246855"</f>
        <v>9780310246855</v>
      </c>
      <c r="T4056" t="str">
        <f>"9780310321859"</f>
        <v>9780310321859</v>
      </c>
      <c r="U4056" t="b">
        <v>0</v>
      </c>
      <c r="W4056" t="b">
        <v>0</v>
      </c>
    </row>
    <row r="4057" spans="1:23" x14ac:dyDescent="0.3">
      <c r="A4057">
        <v>268549</v>
      </c>
      <c r="B4057">
        <v>148.32</v>
      </c>
      <c r="C4057" t="s">
        <v>10032</v>
      </c>
      <c r="D4057" t="s">
        <v>10033</v>
      </c>
      <c r="E4057" t="s">
        <v>49</v>
      </c>
      <c r="F4057" t="s">
        <v>106</v>
      </c>
      <c r="G4057">
        <v>2000</v>
      </c>
      <c r="H4057" t="s">
        <v>893</v>
      </c>
      <c r="I4057" t="s">
        <v>9806</v>
      </c>
      <c r="J4057" t="s">
        <v>6584</v>
      </c>
      <c r="K4057" t="s">
        <v>25</v>
      </c>
      <c r="L4057" t="s">
        <v>26</v>
      </c>
      <c r="M4057" t="b">
        <v>1</v>
      </c>
      <c r="N4057" t="s">
        <v>6585</v>
      </c>
      <c r="O4057" t="str">
        <f>"487/.4"</f>
        <v>487/.4</v>
      </c>
      <c r="Q4057" t="b">
        <v>0</v>
      </c>
      <c r="S4057" t="str">
        <f>"9780310232292"</f>
        <v>9780310232292</v>
      </c>
      <c r="T4057" t="str">
        <f>"9780310321576"</f>
        <v>9780310321576</v>
      </c>
      <c r="U4057" t="b">
        <v>0</v>
      </c>
      <c r="W4057" t="b">
        <v>0</v>
      </c>
    </row>
    <row r="4058" spans="1:23" x14ac:dyDescent="0.3">
      <c r="A4058">
        <v>259811</v>
      </c>
      <c r="B4058">
        <v>65.52</v>
      </c>
      <c r="C4058" t="s">
        <v>10034</v>
      </c>
      <c r="E4058" t="s">
        <v>49</v>
      </c>
      <c r="F4058" t="s">
        <v>44</v>
      </c>
      <c r="G4058">
        <v>2008</v>
      </c>
      <c r="H4058" t="s">
        <v>751</v>
      </c>
      <c r="I4058" t="s">
        <v>6787</v>
      </c>
      <c r="J4058" t="s">
        <v>10035</v>
      </c>
      <c r="K4058" t="s">
        <v>25</v>
      </c>
      <c r="L4058" t="s">
        <v>26</v>
      </c>
      <c r="M4058" t="b">
        <v>1</v>
      </c>
      <c r="N4058" t="s">
        <v>6415</v>
      </c>
      <c r="O4058" t="str">
        <f>"253"</f>
        <v>253</v>
      </c>
      <c r="P4058" t="s">
        <v>8206</v>
      </c>
      <c r="Q4058" t="b">
        <v>0</v>
      </c>
      <c r="S4058" t="str">
        <f>"9780310285083"</f>
        <v>9780310285083</v>
      </c>
      <c r="T4058" t="str">
        <f>"9780310312994"</f>
        <v>9780310312994</v>
      </c>
      <c r="U4058" t="b">
        <v>0</v>
      </c>
      <c r="W4058" t="b">
        <v>0</v>
      </c>
    </row>
    <row r="4059" spans="1:23" x14ac:dyDescent="0.3">
      <c r="A4059">
        <v>258271</v>
      </c>
      <c r="B4059">
        <v>58.62</v>
      </c>
      <c r="C4059" t="s">
        <v>10036</v>
      </c>
      <c r="D4059" t="s">
        <v>10037</v>
      </c>
      <c r="E4059" t="s">
        <v>23</v>
      </c>
      <c r="F4059" t="s">
        <v>44</v>
      </c>
      <c r="G4059">
        <v>2008</v>
      </c>
      <c r="H4059" t="s">
        <v>804</v>
      </c>
      <c r="I4059" t="s">
        <v>10038</v>
      </c>
      <c r="J4059" t="s">
        <v>10039</v>
      </c>
      <c r="K4059" t="s">
        <v>25</v>
      </c>
      <c r="L4059" t="s">
        <v>26</v>
      </c>
      <c r="M4059" t="b">
        <v>1</v>
      </c>
      <c r="N4059" t="s">
        <v>7711</v>
      </c>
      <c r="O4059" t="str">
        <f>"253.082"</f>
        <v>253.082</v>
      </c>
      <c r="Q4059" t="b">
        <v>0</v>
      </c>
      <c r="S4059" t="str">
        <f>"9780310285960"</f>
        <v>9780310285960</v>
      </c>
      <c r="T4059" t="str">
        <f>"9780310309109"</f>
        <v>9780310309109</v>
      </c>
      <c r="U4059" t="b">
        <v>0</v>
      </c>
      <c r="W4059" t="b">
        <v>0</v>
      </c>
    </row>
    <row r="4060" spans="1:23" x14ac:dyDescent="0.3">
      <c r="A4060">
        <v>245484</v>
      </c>
      <c r="B4060">
        <v>51.72</v>
      </c>
      <c r="C4060" t="s">
        <v>10040</v>
      </c>
      <c r="E4060" t="s">
        <v>49</v>
      </c>
      <c r="F4060" t="s">
        <v>44</v>
      </c>
      <c r="G4060">
        <v>2007</v>
      </c>
      <c r="H4060" t="s">
        <v>50</v>
      </c>
      <c r="I4060" t="s">
        <v>10041</v>
      </c>
      <c r="J4060" t="s">
        <v>10042</v>
      </c>
      <c r="K4060" t="s">
        <v>25</v>
      </c>
      <c r="L4060" t="s">
        <v>26</v>
      </c>
      <c r="M4060" t="b">
        <v>1</v>
      </c>
      <c r="N4060" t="s">
        <v>6389</v>
      </c>
      <c r="O4060" t="str">
        <f>"259/.23"</f>
        <v>259/.23</v>
      </c>
      <c r="Q4060" t="b">
        <v>0</v>
      </c>
      <c r="S4060" t="str">
        <f>"9780310282495"</f>
        <v>9780310282495</v>
      </c>
      <c r="T4060" t="str">
        <f>"9780310669968"</f>
        <v>9780310669968</v>
      </c>
      <c r="U4060" t="b">
        <v>0</v>
      </c>
      <c r="W4060" t="b">
        <v>0</v>
      </c>
    </row>
    <row r="4061" spans="1:23" x14ac:dyDescent="0.3">
      <c r="A4061">
        <v>245483</v>
      </c>
      <c r="B4061">
        <v>51.72</v>
      </c>
      <c r="C4061" t="s">
        <v>10043</v>
      </c>
      <c r="D4061" t="s">
        <v>10044</v>
      </c>
      <c r="E4061" t="s">
        <v>23</v>
      </c>
      <c r="F4061" t="s">
        <v>44</v>
      </c>
      <c r="G4061">
        <v>2008</v>
      </c>
      <c r="H4061" t="s">
        <v>50</v>
      </c>
      <c r="I4061" t="s">
        <v>10045</v>
      </c>
      <c r="J4061" t="s">
        <v>7441</v>
      </c>
      <c r="K4061" t="s">
        <v>25</v>
      </c>
      <c r="L4061" t="s">
        <v>26</v>
      </c>
      <c r="M4061" t="b">
        <v>1</v>
      </c>
      <c r="N4061" t="s">
        <v>10046</v>
      </c>
      <c r="O4061" t="str">
        <f>"259.23"</f>
        <v>259.23</v>
      </c>
      <c r="Q4061" t="b">
        <v>0</v>
      </c>
      <c r="S4061" t="str">
        <f>"9780310276630"</f>
        <v>9780310276630</v>
      </c>
      <c r="T4061" t="str">
        <f>"9780310669623"</f>
        <v>9780310669623</v>
      </c>
      <c r="U4061" t="b">
        <v>0</v>
      </c>
      <c r="W4061" t="b">
        <v>0</v>
      </c>
    </row>
    <row r="4062" spans="1:23" x14ac:dyDescent="0.3">
      <c r="A4062">
        <v>245482</v>
      </c>
      <c r="B4062">
        <v>51.72</v>
      </c>
      <c r="C4062" t="s">
        <v>10047</v>
      </c>
      <c r="D4062" t="s">
        <v>10048</v>
      </c>
      <c r="E4062" t="s">
        <v>23</v>
      </c>
      <c r="F4062" t="s">
        <v>44</v>
      </c>
      <c r="G4062">
        <v>2008</v>
      </c>
      <c r="H4062" t="s">
        <v>50</v>
      </c>
      <c r="I4062" t="s">
        <v>10049</v>
      </c>
      <c r="J4062" t="s">
        <v>7441</v>
      </c>
      <c r="K4062" t="s">
        <v>25</v>
      </c>
      <c r="L4062" t="s">
        <v>26</v>
      </c>
      <c r="M4062" t="b">
        <v>1</v>
      </c>
      <c r="N4062" t="s">
        <v>1453</v>
      </c>
      <c r="O4062" t="str">
        <f>"259.23"</f>
        <v>259.23</v>
      </c>
      <c r="Q4062" t="b">
        <v>0</v>
      </c>
      <c r="S4062" t="str">
        <f>"9780310668664"</f>
        <v>9780310668664</v>
      </c>
      <c r="T4062" t="str">
        <f>"9780310669418"</f>
        <v>9780310669418</v>
      </c>
      <c r="U4062" t="b">
        <v>0</v>
      </c>
      <c r="W4062" t="b">
        <v>0</v>
      </c>
    </row>
    <row r="4063" spans="1:23" x14ac:dyDescent="0.3">
      <c r="A4063">
        <v>245481</v>
      </c>
      <c r="B4063">
        <v>68.97</v>
      </c>
      <c r="C4063" t="s">
        <v>10050</v>
      </c>
      <c r="E4063" t="s">
        <v>49</v>
      </c>
      <c r="F4063" t="s">
        <v>44</v>
      </c>
      <c r="G4063">
        <v>2007</v>
      </c>
      <c r="H4063" t="s">
        <v>50</v>
      </c>
      <c r="I4063" t="s">
        <v>10051</v>
      </c>
      <c r="J4063" t="s">
        <v>10052</v>
      </c>
      <c r="K4063" t="s">
        <v>25</v>
      </c>
      <c r="L4063" t="s">
        <v>26</v>
      </c>
      <c r="M4063" t="b">
        <v>1</v>
      </c>
      <c r="N4063" t="s">
        <v>7390</v>
      </c>
      <c r="O4063" t="str">
        <f>"277.3/0830835"</f>
        <v>277.3/0830835</v>
      </c>
      <c r="Q4063" t="b">
        <v>0</v>
      </c>
      <c r="S4063" t="str">
        <f>"9780310273134"</f>
        <v>9780310273134</v>
      </c>
      <c r="T4063" t="str">
        <f>"9780310669890"</f>
        <v>9780310669890</v>
      </c>
      <c r="U4063" t="b">
        <v>0</v>
      </c>
      <c r="W4063" t="b">
        <v>0</v>
      </c>
    </row>
    <row r="4064" spans="1:23" x14ac:dyDescent="0.3">
      <c r="A4064">
        <v>245479</v>
      </c>
      <c r="B4064">
        <v>62.07</v>
      </c>
      <c r="C4064" t="s">
        <v>10053</v>
      </c>
      <c r="D4064" t="s">
        <v>10054</v>
      </c>
      <c r="E4064" t="s">
        <v>23</v>
      </c>
      <c r="F4064" t="s">
        <v>44</v>
      </c>
      <c r="G4064">
        <v>2006</v>
      </c>
      <c r="H4064" t="s">
        <v>756</v>
      </c>
      <c r="I4064" t="s">
        <v>10055</v>
      </c>
      <c r="J4064" t="s">
        <v>10056</v>
      </c>
      <c r="K4064" t="s">
        <v>25</v>
      </c>
      <c r="L4064" t="s">
        <v>26</v>
      </c>
      <c r="M4064" t="b">
        <v>1</v>
      </c>
      <c r="N4064" t="s">
        <v>7350</v>
      </c>
      <c r="O4064" t="str">
        <f>"259/.23"</f>
        <v>259/.23</v>
      </c>
      <c r="Q4064" t="b">
        <v>0</v>
      </c>
      <c r="S4064" t="str">
        <f>"9780310269854"</f>
        <v>9780310269854</v>
      </c>
      <c r="T4064" t="str">
        <f>"9780310669838"</f>
        <v>9780310669838</v>
      </c>
      <c r="U4064" t="b">
        <v>0</v>
      </c>
      <c r="W4064" t="b">
        <v>0</v>
      </c>
    </row>
    <row r="4065" spans="1:23" x14ac:dyDescent="0.3">
      <c r="A4065">
        <v>245478</v>
      </c>
      <c r="B4065">
        <v>62.07</v>
      </c>
      <c r="C4065" t="s">
        <v>10057</v>
      </c>
      <c r="D4065" t="s">
        <v>10058</v>
      </c>
      <c r="E4065" t="s">
        <v>49</v>
      </c>
      <c r="F4065" t="s">
        <v>44</v>
      </c>
      <c r="G4065">
        <v>2006</v>
      </c>
      <c r="H4065" t="s">
        <v>50</v>
      </c>
      <c r="I4065" t="s">
        <v>10059</v>
      </c>
      <c r="J4065" t="s">
        <v>10060</v>
      </c>
      <c r="K4065" t="s">
        <v>25</v>
      </c>
      <c r="L4065" t="s">
        <v>26</v>
      </c>
      <c r="M4065" t="b">
        <v>1</v>
      </c>
      <c r="N4065" t="s">
        <v>10061</v>
      </c>
      <c r="O4065" t="str">
        <f>"259/.23"</f>
        <v>259/.23</v>
      </c>
      <c r="Q4065" t="b">
        <v>0</v>
      </c>
      <c r="S4065" t="str">
        <f>"9780310266327"</f>
        <v>9780310266327</v>
      </c>
      <c r="T4065" t="str">
        <f>"9780310669760"</f>
        <v>9780310669760</v>
      </c>
      <c r="U4065" t="b">
        <v>0</v>
      </c>
      <c r="W4065" t="b">
        <v>0</v>
      </c>
    </row>
    <row r="4066" spans="1:23" x14ac:dyDescent="0.3">
      <c r="A4066">
        <v>245477</v>
      </c>
      <c r="B4066">
        <v>65.52</v>
      </c>
      <c r="C4066" t="s">
        <v>10062</v>
      </c>
      <c r="D4066" t="s">
        <v>10063</v>
      </c>
      <c r="E4066" t="s">
        <v>49</v>
      </c>
      <c r="F4066" t="s">
        <v>44</v>
      </c>
      <c r="G4066">
        <v>2007</v>
      </c>
      <c r="H4066" t="s">
        <v>50</v>
      </c>
      <c r="I4066" t="s">
        <v>10064</v>
      </c>
      <c r="J4066" t="s">
        <v>10065</v>
      </c>
      <c r="K4066" t="s">
        <v>25</v>
      </c>
      <c r="L4066" t="s">
        <v>26</v>
      </c>
      <c r="M4066" t="b">
        <v>1</v>
      </c>
      <c r="N4066" t="s">
        <v>10066</v>
      </c>
      <c r="O4066" t="str">
        <f>"259/.23"</f>
        <v>259/.23</v>
      </c>
      <c r="Q4066" t="b">
        <v>0</v>
      </c>
      <c r="S4066" t="str">
        <f>"9780310273769"</f>
        <v>9780310273769</v>
      </c>
      <c r="T4066" t="str">
        <f>"9780310669692"</f>
        <v>9780310669692</v>
      </c>
      <c r="U4066" t="b">
        <v>0</v>
      </c>
      <c r="W4066" t="b">
        <v>0</v>
      </c>
    </row>
    <row r="4067" spans="1:23" x14ac:dyDescent="0.3">
      <c r="A4067">
        <v>245472</v>
      </c>
      <c r="B4067">
        <v>65.52</v>
      </c>
      <c r="C4067" t="s">
        <v>10067</v>
      </c>
      <c r="E4067" t="s">
        <v>49</v>
      </c>
      <c r="F4067" t="s">
        <v>44</v>
      </c>
      <c r="G4067">
        <v>2007</v>
      </c>
      <c r="H4067" t="s">
        <v>50</v>
      </c>
      <c r="I4067" t="s">
        <v>10068</v>
      </c>
      <c r="J4067" t="s">
        <v>10069</v>
      </c>
      <c r="K4067" t="s">
        <v>25</v>
      </c>
      <c r="L4067" t="s">
        <v>26</v>
      </c>
      <c r="M4067" t="b">
        <v>1</v>
      </c>
      <c r="N4067" t="s">
        <v>10070</v>
      </c>
      <c r="O4067" t="str">
        <f>"259/.23"</f>
        <v>259/.23</v>
      </c>
      <c r="Q4067" t="b">
        <v>0</v>
      </c>
      <c r="S4067" t="str">
        <f>"9780310274957"</f>
        <v>9780310274957</v>
      </c>
      <c r="T4067" t="str">
        <f>"9780310669470"</f>
        <v>9780310669470</v>
      </c>
      <c r="U4067" t="b">
        <v>0</v>
      </c>
      <c r="W4067" t="b">
        <v>0</v>
      </c>
    </row>
    <row r="4068" spans="1:23" x14ac:dyDescent="0.3">
      <c r="A4068">
        <v>238412</v>
      </c>
      <c r="B4068">
        <v>86.22</v>
      </c>
      <c r="C4068" t="s">
        <v>10071</v>
      </c>
      <c r="D4068" t="s">
        <v>7155</v>
      </c>
      <c r="E4068" t="s">
        <v>49</v>
      </c>
      <c r="F4068" t="s">
        <v>44</v>
      </c>
      <c r="G4068">
        <v>2008</v>
      </c>
      <c r="H4068" t="s">
        <v>50</v>
      </c>
      <c r="I4068" t="s">
        <v>7151</v>
      </c>
      <c r="J4068" t="s">
        <v>10072</v>
      </c>
      <c r="K4068" t="s">
        <v>25</v>
      </c>
      <c r="L4068" t="s">
        <v>26</v>
      </c>
      <c r="M4068" t="b">
        <v>1</v>
      </c>
      <c r="N4068" t="s">
        <v>7156</v>
      </c>
      <c r="O4068" t="str">
        <f>"268/.67"</f>
        <v>268/.67</v>
      </c>
      <c r="Q4068" t="b">
        <v>0</v>
      </c>
      <c r="S4068" t="str">
        <f>"9780310274940"</f>
        <v>9780310274940</v>
      </c>
      <c r="T4068" t="str">
        <f>"9780310300274"</f>
        <v>9780310300274</v>
      </c>
      <c r="U4068" t="b">
        <v>0</v>
      </c>
      <c r="W4068" t="b">
        <v>0</v>
      </c>
    </row>
    <row r="4069" spans="1:23" x14ac:dyDescent="0.3">
      <c r="A4069">
        <v>237589</v>
      </c>
      <c r="B4069">
        <v>28.39</v>
      </c>
      <c r="C4069" t="s">
        <v>10073</v>
      </c>
      <c r="E4069" t="s">
        <v>49</v>
      </c>
      <c r="F4069" t="s">
        <v>44</v>
      </c>
      <c r="G4069">
        <v>2008</v>
      </c>
      <c r="H4069" t="s">
        <v>804</v>
      </c>
      <c r="I4069" t="s">
        <v>10074</v>
      </c>
      <c r="J4069" t="s">
        <v>10075</v>
      </c>
      <c r="K4069" t="s">
        <v>25</v>
      </c>
      <c r="L4069" t="s">
        <v>26</v>
      </c>
      <c r="M4069" t="b">
        <v>1</v>
      </c>
      <c r="N4069" t="s">
        <v>2616</v>
      </c>
      <c r="O4069" t="str">
        <f>"222/.906"</f>
        <v>222/.906</v>
      </c>
      <c r="P4069" t="s">
        <v>9320</v>
      </c>
      <c r="Q4069" t="b">
        <v>0</v>
      </c>
      <c r="S4069" t="str">
        <f>"9780310287605"</f>
        <v>9780310287605</v>
      </c>
      <c r="T4069" t="str">
        <f>"9780310308997"</f>
        <v>9780310308997</v>
      </c>
      <c r="U4069" t="b">
        <v>0</v>
      </c>
      <c r="W4069" t="b">
        <v>0</v>
      </c>
    </row>
    <row r="4070" spans="1:23" x14ac:dyDescent="0.3">
      <c r="A4070">
        <v>237588</v>
      </c>
      <c r="B4070">
        <v>28.39</v>
      </c>
      <c r="C4070" t="s">
        <v>10076</v>
      </c>
      <c r="E4070" t="s">
        <v>49</v>
      </c>
      <c r="F4070" t="s">
        <v>44</v>
      </c>
      <c r="G4070">
        <v>2008</v>
      </c>
      <c r="H4070" t="s">
        <v>804</v>
      </c>
      <c r="I4070" t="s">
        <v>10077</v>
      </c>
      <c r="J4070" t="s">
        <v>10078</v>
      </c>
      <c r="K4070" t="s">
        <v>25</v>
      </c>
      <c r="L4070" t="s">
        <v>26</v>
      </c>
      <c r="M4070" t="b">
        <v>1</v>
      </c>
      <c r="N4070" t="s">
        <v>6241</v>
      </c>
      <c r="O4070" t="str">
        <f>"253"</f>
        <v>253</v>
      </c>
      <c r="P4070" t="s">
        <v>9320</v>
      </c>
      <c r="Q4070" t="b">
        <v>0</v>
      </c>
      <c r="S4070" t="str">
        <f>"9780310287629"</f>
        <v>9780310287629</v>
      </c>
      <c r="T4070" t="str">
        <f>"9780310308980"</f>
        <v>9780310308980</v>
      </c>
      <c r="U4070" t="b">
        <v>0</v>
      </c>
      <c r="W4070" t="b">
        <v>0</v>
      </c>
    </row>
    <row r="4071" spans="1:23" x14ac:dyDescent="0.3">
      <c r="A4071">
        <v>222398</v>
      </c>
      <c r="B4071">
        <v>49.71</v>
      </c>
      <c r="C4071" t="s">
        <v>10079</v>
      </c>
      <c r="D4071" t="s">
        <v>3370</v>
      </c>
      <c r="E4071" t="s">
        <v>49</v>
      </c>
      <c r="F4071" t="s">
        <v>44</v>
      </c>
      <c r="G4071">
        <v>1999</v>
      </c>
      <c r="H4071" t="s">
        <v>1044</v>
      </c>
      <c r="I4071" t="s">
        <v>10080</v>
      </c>
      <c r="J4071" t="s">
        <v>10081</v>
      </c>
      <c r="K4071" t="s">
        <v>25</v>
      </c>
      <c r="L4071" t="s">
        <v>26</v>
      </c>
      <c r="M4071" t="b">
        <v>1</v>
      </c>
      <c r="N4071" t="s">
        <v>3371</v>
      </c>
      <c r="O4071" t="str">
        <f>"248.8/8"</f>
        <v>248.8/8</v>
      </c>
      <c r="Q4071" t="b">
        <v>0</v>
      </c>
      <c r="S4071" t="str">
        <f>"9780310224716"</f>
        <v>9780310224716</v>
      </c>
      <c r="T4071" t="str">
        <f>"9780310278450"</f>
        <v>9780310278450</v>
      </c>
      <c r="U4071" t="b">
        <v>0</v>
      </c>
      <c r="W4071" t="b">
        <v>0</v>
      </c>
    </row>
    <row r="4072" spans="1:23" x14ac:dyDescent="0.3">
      <c r="A4072">
        <v>197732</v>
      </c>
      <c r="B4072">
        <v>79.319999999999993</v>
      </c>
      <c r="C4072" t="s">
        <v>10082</v>
      </c>
      <c r="D4072" t="s">
        <v>10083</v>
      </c>
      <c r="E4072" t="s">
        <v>23</v>
      </c>
      <c r="F4072" t="s">
        <v>44</v>
      </c>
      <c r="G4072">
        <v>2006</v>
      </c>
      <c r="H4072" t="s">
        <v>55</v>
      </c>
      <c r="I4072" t="s">
        <v>4864</v>
      </c>
      <c r="K4072" t="s">
        <v>25</v>
      </c>
      <c r="L4072" t="s">
        <v>26</v>
      </c>
      <c r="M4072" t="b">
        <v>1</v>
      </c>
      <c r="N4072" t="s">
        <v>63</v>
      </c>
      <c r="O4072" t="str">
        <f>"220.071"</f>
        <v>220.071</v>
      </c>
      <c r="Q4072" t="b">
        <v>0</v>
      </c>
      <c r="S4072" t="str">
        <f>"9780310273004"</f>
        <v>9780310273004</v>
      </c>
      <c r="T4072" t="str">
        <f>"9780310565956"</f>
        <v>9780310565956</v>
      </c>
      <c r="U4072" t="b">
        <v>0</v>
      </c>
      <c r="V4072" t="s">
        <v>2341</v>
      </c>
      <c r="W4072" t="b">
        <v>0</v>
      </c>
    </row>
    <row r="4073" spans="1:23" x14ac:dyDescent="0.3">
      <c r="A4073">
        <v>169871</v>
      </c>
      <c r="B4073">
        <v>51.72</v>
      </c>
      <c r="C4073" t="s">
        <v>10084</v>
      </c>
      <c r="D4073" t="s">
        <v>10085</v>
      </c>
      <c r="E4073" t="s">
        <v>23</v>
      </c>
      <c r="F4073" t="s">
        <v>44</v>
      </c>
      <c r="G4073">
        <v>2004</v>
      </c>
      <c r="H4073" t="s">
        <v>6334</v>
      </c>
      <c r="I4073" t="s">
        <v>10086</v>
      </c>
      <c r="J4073" t="s">
        <v>10087</v>
      </c>
      <c r="K4073" t="s">
        <v>25</v>
      </c>
      <c r="L4073" t="s">
        <v>26</v>
      </c>
      <c r="M4073" t="b">
        <v>1</v>
      </c>
      <c r="N4073" t="s">
        <v>3183</v>
      </c>
      <c r="O4073" t="str">
        <f>"270.8/3"</f>
        <v>270.8/3</v>
      </c>
      <c r="Q4073" t="b">
        <v>0</v>
      </c>
      <c r="S4073" t="str">
        <f>"9780310257479"</f>
        <v>9780310257479</v>
      </c>
      <c r="T4073" t="str">
        <f>"9780310565796"</f>
        <v>9780310565796</v>
      </c>
      <c r="U4073" t="b">
        <v>0</v>
      </c>
      <c r="W4073" t="b">
        <v>0</v>
      </c>
    </row>
    <row r="4074" spans="1:23" x14ac:dyDescent="0.3">
      <c r="A4074">
        <v>83326</v>
      </c>
      <c r="B4074">
        <v>103.47</v>
      </c>
      <c r="C4074" t="s">
        <v>10088</v>
      </c>
      <c r="E4074" t="s">
        <v>49</v>
      </c>
      <c r="F4074" t="s">
        <v>44</v>
      </c>
      <c r="G4074">
        <v>2008</v>
      </c>
      <c r="H4074" t="s">
        <v>3415</v>
      </c>
      <c r="I4074" t="s">
        <v>6540</v>
      </c>
      <c r="J4074" t="s">
        <v>895</v>
      </c>
      <c r="K4074" t="s">
        <v>25</v>
      </c>
      <c r="L4074" t="s">
        <v>26</v>
      </c>
      <c r="M4074" t="b">
        <v>1</v>
      </c>
      <c r="N4074" t="s">
        <v>7106</v>
      </c>
      <c r="O4074" t="str">
        <f>"220.7/7"</f>
        <v>220.7/7</v>
      </c>
      <c r="Q4074" t="b">
        <v>0</v>
      </c>
      <c r="S4074" t="str">
        <f>"9780310224792"</f>
        <v>9780310224792</v>
      </c>
      <c r="T4074" t="str">
        <f>"9780310296072"</f>
        <v>9780310296072</v>
      </c>
      <c r="U4074" t="b">
        <v>0</v>
      </c>
      <c r="W4074" t="b">
        <v>0</v>
      </c>
    </row>
    <row r="4075" spans="1:23" x14ac:dyDescent="0.3">
      <c r="A4075">
        <v>83323</v>
      </c>
      <c r="B4075">
        <v>100.02</v>
      </c>
      <c r="C4075" t="s">
        <v>10089</v>
      </c>
      <c r="D4075" t="s">
        <v>10090</v>
      </c>
      <c r="E4075" t="s">
        <v>49</v>
      </c>
      <c r="F4075" t="s">
        <v>44</v>
      </c>
      <c r="G4075">
        <v>1995</v>
      </c>
      <c r="H4075" t="s">
        <v>751</v>
      </c>
      <c r="I4075" t="s">
        <v>2716</v>
      </c>
      <c r="J4075" t="s">
        <v>6788</v>
      </c>
      <c r="K4075" t="s">
        <v>25</v>
      </c>
      <c r="L4075" t="s">
        <v>26</v>
      </c>
      <c r="M4075" t="b">
        <v>1</v>
      </c>
      <c r="N4075" t="s">
        <v>63</v>
      </c>
      <c r="O4075" t="str">
        <f>"253"</f>
        <v>253</v>
      </c>
      <c r="Q4075" t="b">
        <v>0</v>
      </c>
      <c r="S4075" t="str">
        <f>"9780310201069"</f>
        <v>9780310201069</v>
      </c>
      <c r="T4075" t="str">
        <f>"9780310294085"</f>
        <v>9780310294085</v>
      </c>
      <c r="U4075" t="b">
        <v>0</v>
      </c>
      <c r="W4075" t="b">
        <v>0</v>
      </c>
    </row>
  </sheetData>
  <autoFilter ref="A1:Y4075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CsvExport-2022-09-13-14-17-03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Corder</dc:creator>
  <cp:lastModifiedBy>Purtee, Beth</cp:lastModifiedBy>
  <dcterms:created xsi:type="dcterms:W3CDTF">2022-09-13T18:27:19Z</dcterms:created>
  <dcterms:modified xsi:type="dcterms:W3CDTF">2022-09-13T19:32:06Z</dcterms:modified>
</cp:coreProperties>
</file>